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B2245FC6-E2FD-4C6D-9536-7D985D5D8E52}" xr6:coauthVersionLast="47" xr6:coauthVersionMax="47" xr10:uidLastSave="{00000000-0000-0000-0000-000000000000}"/>
  <bookViews>
    <workbookView xWindow="-120" yWindow="-120" windowWidth="29040" windowHeight="17640" tabRatio="906" xr2:uid="{00000000-000D-0000-FFFF-FFFF00000000}"/>
  </bookViews>
  <sheets>
    <sheet name="WMO Tc" sheetId="5" r:id="rId1"/>
    <sheet name="SPO Tc" sheetId="9" r:id="rId2"/>
    <sheet name="CN" sheetId="15" r:id="rId3"/>
    <sheet name="ADJUSTED CN" sheetId="4" r:id="rId4"/>
    <sheet name="C" sheetId="2" r:id="rId5"/>
    <sheet name="ORIFICE" sheetId="11" r:id="rId6"/>
    <sheet name="NOMO B-75" sheetId="14" r:id="rId7"/>
    <sheet name="NOMO B-70" sheetId="13" r:id="rId8"/>
    <sheet name="MRM B-75" sheetId="10" r:id="rId9"/>
    <sheet name="MRM B-70" sheetId="8" r:id="rId10"/>
    <sheet name="MRM TP-40" sheetId="7" r:id="rId11"/>
    <sheet name="VOLUME PROVIDED" sheetId="12" r:id="rId12"/>
    <sheet name="RUNOFF VOLUME" sheetId="6" r:id="rId13"/>
  </sheets>
  <definedNames>
    <definedName name="_xlnm.Print_Area" localSheetId="3">'ADJUSTED CN'!$A$1:$Z$37</definedName>
    <definedName name="_xlnm.Print_Area" localSheetId="4">'C'!$A$1:$Z$41</definedName>
    <definedName name="_xlnm.Print_Area" localSheetId="2">CN!$A$1:$Z$39</definedName>
    <definedName name="_xlnm.Print_Area" localSheetId="9">'MRM B-70'!$A$1:$Z$49</definedName>
    <definedName name="_xlnm.Print_Area" localSheetId="8">'MRM B-75'!$A$1:$Z$49</definedName>
    <definedName name="_xlnm.Print_Area" localSheetId="10">'MRM TP-40'!$A$1:$Z$52</definedName>
    <definedName name="_xlnm.Print_Area" localSheetId="7">'NOMO B-70'!$A$1:$Z$49</definedName>
    <definedName name="_xlnm.Print_Area" localSheetId="6">'NOMO B-75'!$A$1:$Z$52</definedName>
    <definedName name="_xlnm.Print_Area" localSheetId="5">ORIFICE!$A$1:$Z$41</definedName>
    <definedName name="_xlnm.Print_Area" localSheetId="12">'RUNOFF VOLUME'!$A$1:$Z$39</definedName>
    <definedName name="_xlnm.Print_Area" localSheetId="1">'SPO Tc'!$A$1:$Z$29</definedName>
    <definedName name="_xlnm.Print_Area" localSheetId="11">'VOLUME PROVIDED'!$A$1:$Z$51</definedName>
    <definedName name="_xlnm.Print_Area" localSheetId="0">'WMO Tc'!$A$1:$Z$44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30" i="14" l="1"/>
  <c r="AD29" i="14"/>
  <c r="AD28" i="14" l="1"/>
  <c r="R31" i="15" l="1"/>
  <c r="L37" i="15" s="1"/>
  <c r="V29" i="15"/>
  <c r="V28" i="15"/>
  <c r="V27" i="15"/>
  <c r="V26" i="15"/>
  <c r="V25" i="15"/>
  <c r="V24" i="15"/>
  <c r="V23" i="15"/>
  <c r="V22" i="15"/>
  <c r="V31" i="15" l="1"/>
  <c r="L36" i="15" s="1"/>
  <c r="V36" i="15" s="1"/>
  <c r="V19" i="11"/>
  <c r="R19" i="11"/>
  <c r="S28" i="11" l="1"/>
  <c r="U36" i="12"/>
  <c r="U37" i="12"/>
  <c r="U38" i="12"/>
  <c r="U35" i="12"/>
  <c r="U16" i="12"/>
  <c r="U15" i="12"/>
  <c r="K17" i="12"/>
  <c r="P17" i="12" s="1"/>
  <c r="K18" i="12"/>
  <c r="P18" i="12" s="1"/>
  <c r="K19" i="12"/>
  <c r="P19" i="12" s="1"/>
  <c r="K20" i="12"/>
  <c r="P20" i="12" s="1"/>
  <c r="K21" i="12"/>
  <c r="P21" i="12" s="1"/>
  <c r="K22" i="12"/>
  <c r="P22" i="12" s="1"/>
  <c r="K23" i="12"/>
  <c r="P23" i="12" s="1"/>
  <c r="K24" i="12"/>
  <c r="P24" i="12" s="1"/>
  <c r="K25" i="12"/>
  <c r="P25" i="12" s="1"/>
  <c r="K26" i="12"/>
  <c r="P26" i="12" s="1"/>
  <c r="K27" i="12"/>
  <c r="P27" i="12" s="1"/>
  <c r="K28" i="12"/>
  <c r="P28" i="12" s="1"/>
  <c r="K29" i="12"/>
  <c r="P29" i="12" s="1"/>
  <c r="K16" i="12"/>
  <c r="P16" i="12" s="1"/>
  <c r="U17" i="12" l="1"/>
  <c r="U18" i="12"/>
  <c r="U20" i="12" s="1"/>
  <c r="U22" i="12" s="1"/>
  <c r="U24" i="12" s="1"/>
  <c r="U26" i="12" s="1"/>
  <c r="U28" i="12" s="1"/>
  <c r="U19" i="12"/>
  <c r="U21" i="12" s="1"/>
  <c r="U23" i="12" s="1"/>
  <c r="U25" i="12" s="1"/>
  <c r="U27" i="12" s="1"/>
  <c r="U29" i="12" s="1"/>
  <c r="R19" i="5"/>
  <c r="S29" i="11" l="1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S30" i="11" l="1"/>
  <c r="R18" i="11"/>
  <c r="S31" i="11" l="1"/>
  <c r="N19" i="5"/>
  <c r="S32" i="11" l="1"/>
  <c r="G28" i="11"/>
  <c r="S33" i="11" l="1"/>
  <c r="G29" i="11"/>
  <c r="S15" i="14"/>
  <c r="AD30" i="13"/>
  <c r="S15" i="13" s="1"/>
  <c r="AD29" i="13"/>
  <c r="Y33" i="13" l="1"/>
  <c r="G30" i="11"/>
  <c r="Y35" i="14"/>
  <c r="AD28" i="13"/>
  <c r="Y36" i="14" l="1"/>
  <c r="Y30" i="14"/>
  <c r="Y39" i="13"/>
  <c r="Y40" i="13"/>
  <c r="Y34" i="13"/>
  <c r="Y37" i="13"/>
  <c r="Y26" i="13"/>
  <c r="Y41" i="13"/>
  <c r="Y38" i="13"/>
  <c r="Y27" i="13"/>
  <c r="Y29" i="13"/>
  <c r="Y24" i="13"/>
  <c r="Y22" i="13"/>
  <c r="Y32" i="13"/>
  <c r="Y28" i="13"/>
  <c r="Y21" i="13"/>
  <c r="Y35" i="13"/>
  <c r="Y23" i="13"/>
  <c r="Y30" i="13"/>
  <c r="Y25" i="13"/>
  <c r="Y31" i="13"/>
  <c r="Y36" i="13"/>
  <c r="Y20" i="13"/>
  <c r="G31" i="11"/>
  <c r="Y33" i="14"/>
  <c r="Y40" i="14"/>
  <c r="Y29" i="14"/>
  <c r="Y26" i="14"/>
  <c r="Y25" i="14"/>
  <c r="Y31" i="14"/>
  <c r="Y38" i="14"/>
  <c r="Y27" i="14"/>
  <c r="Y34" i="14"/>
  <c r="Y39" i="14"/>
  <c r="Y21" i="14"/>
  <c r="Y28" i="14"/>
  <c r="Y37" i="14"/>
  <c r="Y32" i="14"/>
  <c r="Y23" i="14"/>
  <c r="Y41" i="14"/>
  <c r="Y20" i="14"/>
  <c r="Y22" i="14"/>
  <c r="Y24" i="14"/>
  <c r="V18" i="11"/>
  <c r="G32" i="11" l="1"/>
  <c r="K32" i="11"/>
  <c r="K36" i="11"/>
  <c r="K29" i="11"/>
  <c r="K33" i="11"/>
  <c r="K37" i="11"/>
  <c r="K28" i="11"/>
  <c r="O28" i="11" s="1"/>
  <c r="K30" i="11"/>
  <c r="K34" i="11"/>
  <c r="K31" i="11"/>
  <c r="K35" i="11"/>
  <c r="U39" i="12"/>
  <c r="U40" i="12"/>
  <c r="U41" i="12"/>
  <c r="U42" i="12"/>
  <c r="F14" i="12"/>
  <c r="K38" i="11" l="1"/>
  <c r="G33" i="11"/>
  <c r="O33" i="11" s="1"/>
  <c r="O30" i="11"/>
  <c r="O31" i="11"/>
  <c r="O32" i="11"/>
  <c r="O29" i="11"/>
  <c r="U47" i="12"/>
  <c r="K14" i="12"/>
  <c r="K39" i="11" l="1"/>
  <c r="G34" i="11"/>
  <c r="O34" i="11" s="1"/>
  <c r="V22" i="2"/>
  <c r="V23" i="2"/>
  <c r="V24" i="2"/>
  <c r="V25" i="2"/>
  <c r="V26" i="2"/>
  <c r="V27" i="2"/>
  <c r="V28" i="2"/>
  <c r="V29" i="2"/>
  <c r="R31" i="2"/>
  <c r="K40" i="11" l="1"/>
  <c r="G35" i="11"/>
  <c r="O35" i="11" s="1"/>
  <c r="U46" i="12"/>
  <c r="U50" i="12" s="1"/>
  <c r="V31" i="2"/>
  <c r="G40" i="11" l="1"/>
  <c r="O40" i="11" s="1"/>
  <c r="G36" i="11"/>
  <c r="O36" i="11" s="1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20" i="10"/>
  <c r="K21" i="8"/>
  <c r="O21" i="8" s="1"/>
  <c r="K22" i="8"/>
  <c r="O22" i="8" s="1"/>
  <c r="K23" i="8"/>
  <c r="O23" i="8" s="1"/>
  <c r="K24" i="8"/>
  <c r="O24" i="8" s="1"/>
  <c r="K25" i="8"/>
  <c r="O25" i="8" s="1"/>
  <c r="K26" i="8"/>
  <c r="O26" i="8" s="1"/>
  <c r="K27" i="8"/>
  <c r="O27" i="8" s="1"/>
  <c r="K28" i="8"/>
  <c r="O28" i="8" s="1"/>
  <c r="K29" i="8"/>
  <c r="O29" i="8" s="1"/>
  <c r="K30" i="8"/>
  <c r="O30" i="8" s="1"/>
  <c r="K31" i="8"/>
  <c r="O31" i="8" s="1"/>
  <c r="K32" i="8"/>
  <c r="O32" i="8" s="1"/>
  <c r="K33" i="8"/>
  <c r="O33" i="8" s="1"/>
  <c r="K34" i="8"/>
  <c r="O34" i="8" s="1"/>
  <c r="K35" i="8"/>
  <c r="O35" i="8" s="1"/>
  <c r="K36" i="8"/>
  <c r="O36" i="8" s="1"/>
  <c r="K37" i="8"/>
  <c r="O37" i="8" s="1"/>
  <c r="K38" i="8"/>
  <c r="O38" i="8" s="1"/>
  <c r="K39" i="8"/>
  <c r="O39" i="8" s="1"/>
  <c r="K40" i="8"/>
  <c r="O40" i="8" s="1"/>
  <c r="K41" i="8"/>
  <c r="O41" i="8" s="1"/>
  <c r="K20" i="8"/>
  <c r="O20" i="8" s="1"/>
  <c r="K21" i="7"/>
  <c r="O21" i="7" s="1"/>
  <c r="K22" i="7"/>
  <c r="O22" i="7" s="1"/>
  <c r="K23" i="7"/>
  <c r="O23" i="7" s="1"/>
  <c r="K24" i="7"/>
  <c r="O24" i="7" s="1"/>
  <c r="K25" i="7"/>
  <c r="O25" i="7" s="1"/>
  <c r="K26" i="7"/>
  <c r="O26" i="7" s="1"/>
  <c r="K27" i="7"/>
  <c r="O27" i="7" s="1"/>
  <c r="K28" i="7"/>
  <c r="O28" i="7" s="1"/>
  <c r="K29" i="7"/>
  <c r="O29" i="7" s="1"/>
  <c r="K30" i="7"/>
  <c r="O30" i="7" s="1"/>
  <c r="K31" i="7"/>
  <c r="O31" i="7" s="1"/>
  <c r="K32" i="7"/>
  <c r="O32" i="7" s="1"/>
  <c r="K33" i="7"/>
  <c r="O33" i="7" s="1"/>
  <c r="K34" i="7"/>
  <c r="O34" i="7" s="1"/>
  <c r="K35" i="7"/>
  <c r="O35" i="7" s="1"/>
  <c r="K36" i="7"/>
  <c r="O36" i="7" s="1"/>
  <c r="K37" i="7"/>
  <c r="O37" i="7" s="1"/>
  <c r="K38" i="7"/>
  <c r="O38" i="7" s="1"/>
  <c r="K39" i="7"/>
  <c r="O39" i="7" s="1"/>
  <c r="K40" i="7"/>
  <c r="O40" i="7" s="1"/>
  <c r="K41" i="7"/>
  <c r="O41" i="7" s="1"/>
  <c r="K42" i="7"/>
  <c r="O42" i="7" s="1"/>
  <c r="K43" i="7"/>
  <c r="O43" i="7" s="1"/>
  <c r="K44" i="7"/>
  <c r="O44" i="7" s="1"/>
  <c r="K45" i="7"/>
  <c r="O45" i="7" s="1"/>
  <c r="K46" i="7"/>
  <c r="O46" i="7" s="1"/>
  <c r="K47" i="7"/>
  <c r="O47" i="7" s="1"/>
  <c r="K48" i="7"/>
  <c r="O48" i="7" s="1"/>
  <c r="K49" i="7"/>
  <c r="O49" i="7" s="1"/>
  <c r="K20" i="7"/>
  <c r="O20" i="7" s="1"/>
  <c r="N20" i="9"/>
  <c r="N24" i="9" s="1"/>
  <c r="N25" i="9" s="1"/>
  <c r="N12" i="9"/>
  <c r="N35" i="5"/>
  <c r="N39" i="5" s="1"/>
  <c r="N40" i="5" s="1"/>
  <c r="R27" i="5"/>
  <c r="R28" i="5" s="1"/>
  <c r="N27" i="5"/>
  <c r="N28" i="5" s="1"/>
  <c r="N29" i="9" l="1"/>
  <c r="G37" i="11"/>
  <c r="O37" i="11" s="1"/>
  <c r="V19" i="5"/>
  <c r="G38" i="11" l="1"/>
  <c r="O38" i="11" s="1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R35" i="5"/>
  <c r="R39" i="5" s="1"/>
  <c r="V28" i="5"/>
  <c r="S15" i="10" l="1"/>
  <c r="Y20" i="10" s="1"/>
  <c r="Y33" i="10"/>
  <c r="Y25" i="10"/>
  <c r="Y40" i="10"/>
  <c r="Y21" i="10"/>
  <c r="Y23" i="10"/>
  <c r="Y36" i="10"/>
  <c r="Y35" i="10"/>
  <c r="Y37" i="10"/>
  <c r="Y38" i="10"/>
  <c r="Y29" i="10"/>
  <c r="Y30" i="10"/>
  <c r="G39" i="11"/>
  <c r="O39" i="11" s="1"/>
  <c r="R40" i="5"/>
  <c r="V40" i="5" s="1"/>
  <c r="V44" i="5" s="1"/>
  <c r="Y24" i="10" l="1"/>
  <c r="Y34" i="10"/>
  <c r="Y31" i="10"/>
  <c r="Y28" i="10"/>
  <c r="Y22" i="10"/>
  <c r="Y32" i="10"/>
  <c r="Y39" i="10"/>
  <c r="Y41" i="10"/>
  <c r="Y27" i="10"/>
  <c r="Y26" i="10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5" i="8" l="1"/>
  <c r="Y28" i="8" s="1"/>
  <c r="S15" i="7"/>
  <c r="Y24" i="7" s="1"/>
  <c r="S15" i="6"/>
  <c r="S16" i="6" s="1"/>
  <c r="S20" i="6" s="1"/>
  <c r="S17" i="4"/>
  <c r="S18" i="4" s="1"/>
  <c r="S19" i="4" s="1"/>
  <c r="S28" i="4" s="1"/>
  <c r="S23" i="4"/>
  <c r="S24" i="4" s="1"/>
  <c r="L37" i="2"/>
  <c r="Y22" i="8" l="1"/>
  <c r="Y35" i="8"/>
  <c r="Y31" i="8"/>
  <c r="Y34" i="8"/>
  <c r="Y27" i="8"/>
  <c r="Y41" i="8"/>
  <c r="Y30" i="8"/>
  <c r="Y32" i="8"/>
  <c r="Y25" i="8"/>
  <c r="Y39" i="8"/>
  <c r="Y23" i="8"/>
  <c r="Y38" i="8"/>
  <c r="Y36" i="8"/>
  <c r="Y24" i="8"/>
  <c r="Y40" i="8"/>
  <c r="Y20" i="8"/>
  <c r="Y37" i="8"/>
  <c r="Y29" i="8"/>
  <c r="Y21" i="8"/>
  <c r="Y33" i="8"/>
  <c r="Y26" i="8"/>
  <c r="Y46" i="7"/>
  <c r="Y32" i="7"/>
  <c r="Y42" i="7"/>
  <c r="Y49" i="7"/>
  <c r="Y40" i="7"/>
  <c r="Y43" i="7"/>
  <c r="Y35" i="7"/>
  <c r="Y23" i="7"/>
  <c r="Y31" i="7"/>
  <c r="Y41" i="7"/>
  <c r="Y39" i="7"/>
  <c r="Y44" i="7"/>
  <c r="Y20" i="7"/>
  <c r="Y38" i="7"/>
  <c r="Y28" i="7"/>
  <c r="Y26" i="7"/>
  <c r="Y29" i="7"/>
  <c r="Y45" i="7"/>
  <c r="Y25" i="7"/>
  <c r="Y37" i="7"/>
  <c r="Y34" i="7"/>
  <c r="Y22" i="7"/>
  <c r="Y47" i="7"/>
  <c r="Y30" i="7"/>
  <c r="Y48" i="7"/>
  <c r="Y21" i="7"/>
  <c r="Y36" i="7"/>
  <c r="Y27" i="7"/>
  <c r="Y33" i="7"/>
  <c r="L36" i="2"/>
  <c r="V36" i="2" s="1"/>
  <c r="S29" i="4"/>
  <c r="S30" i="4" l="1"/>
  <c r="S34" i="4" s="1"/>
  <c r="S37" i="11" l="1"/>
  <c r="S35" i="11"/>
  <c r="S40" i="11"/>
  <c r="S36" i="11"/>
  <c r="S34" i="11"/>
  <c r="S39" i="11"/>
  <c r="S38" i="11"/>
</calcChain>
</file>

<file path=xl/sharedStrings.xml><?xml version="1.0" encoding="utf-8"?>
<sst xmlns="http://schemas.openxmlformats.org/spreadsheetml/2006/main" count="537" uniqueCount="185">
  <si>
    <t>PROJECT:</t>
  </si>
  <si>
    <t>PERMIT NUMBER:</t>
  </si>
  <si>
    <t>LOCATION:</t>
  </si>
  <si>
    <t>DATE:</t>
  </si>
  <si>
    <t>PROPOSED CONDITION</t>
  </si>
  <si>
    <t>EXISTING CONDITION</t>
  </si>
  <si>
    <t>Surface Description</t>
  </si>
  <si>
    <t>C</t>
  </si>
  <si>
    <t>Area
(acres)</t>
  </si>
  <si>
    <t>Product
(C)(Area)</t>
  </si>
  <si>
    <t>TOTALS:</t>
  </si>
  <si>
    <t>COMPOSITE RUNOFF COEFFICIENT</t>
  </si>
  <si>
    <t>Composite C</t>
  </si>
  <si>
    <t>=</t>
  </si>
  <si>
    <t>Total Product</t>
  </si>
  <si>
    <t>→</t>
  </si>
  <si>
    <t>Total Area</t>
  </si>
  <si>
    <t>CN</t>
  </si>
  <si>
    <t>Composite CN</t>
  </si>
  <si>
    <r>
      <t xml:space="preserve">Adjusted Runoff Curve Number, </t>
    </r>
    <r>
      <rPr>
        <i/>
        <sz val="10"/>
        <color theme="1"/>
        <rFont val="Calibri"/>
        <family val="2"/>
        <scheme val="minor"/>
      </rPr>
      <t>CN</t>
    </r>
    <r>
      <rPr>
        <i/>
        <vertAlign val="subscript"/>
        <sz val="10"/>
        <color theme="1"/>
        <rFont val="Calibri"/>
        <family val="2"/>
        <scheme val="minor"/>
      </rPr>
      <t>ADJ</t>
    </r>
  </si>
  <si>
    <t>14.</t>
  </si>
  <si>
    <t>ADJUSTED COMPOSITE RUNOFF CURVE NUMBER</t>
  </si>
  <si>
    <t>inches</t>
  </si>
  <si>
    <r>
      <t xml:space="preserve">Adjusted Maximum Retention, </t>
    </r>
    <r>
      <rPr>
        <i/>
        <sz val="10"/>
        <color theme="1"/>
        <rFont val="Calibri"/>
        <family val="2"/>
        <scheme val="minor"/>
      </rPr>
      <t>S</t>
    </r>
    <r>
      <rPr>
        <i/>
        <vertAlign val="subscript"/>
        <sz val="10"/>
        <color theme="1"/>
        <rFont val="Calibri"/>
        <family val="2"/>
        <scheme val="minor"/>
      </rPr>
      <t>ADJ</t>
    </r>
  </si>
  <si>
    <t>13.</t>
  </si>
  <si>
    <r>
      <t xml:space="preserve">Adjusted Runoff Depth, </t>
    </r>
    <r>
      <rPr>
        <i/>
        <sz val="10"/>
        <color theme="1"/>
        <rFont val="Calibri"/>
        <family val="2"/>
        <scheme val="minor"/>
      </rPr>
      <t>Q</t>
    </r>
    <r>
      <rPr>
        <i/>
        <vertAlign val="subscript"/>
        <sz val="10"/>
        <color theme="1"/>
        <rFont val="Calibri"/>
        <family val="2"/>
        <scheme val="minor"/>
      </rPr>
      <t>ADJ</t>
    </r>
  </si>
  <si>
    <t>12.</t>
  </si>
  <si>
    <t>ac-ft</t>
  </si>
  <si>
    <r>
      <t xml:space="preserve">Adjusted Runoff Volume, </t>
    </r>
    <r>
      <rPr>
        <i/>
        <sz val="10"/>
        <color theme="1"/>
        <rFont val="Calibri"/>
        <family val="2"/>
        <scheme val="minor"/>
      </rPr>
      <t>V</t>
    </r>
    <r>
      <rPr>
        <i/>
        <vertAlign val="subscript"/>
        <sz val="10"/>
        <color theme="1"/>
        <rFont val="Calibri"/>
        <family val="2"/>
        <scheme val="minor"/>
      </rPr>
      <t>ADJ</t>
    </r>
  </si>
  <si>
    <t>11.</t>
  </si>
  <si>
    <t>ADJUSTED RUNOFF VOLUME</t>
  </si>
  <si>
    <t>10.</t>
  </si>
  <si>
    <r>
      <t xml:space="preserve">Volume Control Storage Required, </t>
    </r>
    <r>
      <rPr>
        <i/>
        <sz val="10"/>
        <color theme="1"/>
        <rFont val="Calibri"/>
        <family val="2"/>
        <scheme val="minor"/>
      </rPr>
      <t>VC</t>
    </r>
    <r>
      <rPr>
        <i/>
        <vertAlign val="subscript"/>
        <sz val="10"/>
        <color theme="1"/>
        <rFont val="Calibri"/>
        <family val="2"/>
        <scheme val="minor"/>
      </rPr>
      <t>R</t>
    </r>
  </si>
  <si>
    <t>9.</t>
  </si>
  <si>
    <t>VOLUME CONTROL STORAGE</t>
  </si>
  <si>
    <t>8.</t>
  </si>
  <si>
    <r>
      <t xml:space="preserve">Runoff Depth, </t>
    </r>
    <r>
      <rPr>
        <i/>
        <sz val="10"/>
        <color theme="1"/>
        <rFont val="Calibri"/>
        <family val="2"/>
        <scheme val="minor"/>
      </rPr>
      <t>Q</t>
    </r>
    <r>
      <rPr>
        <i/>
        <vertAlign val="subscript"/>
        <sz val="10"/>
        <color theme="1"/>
        <rFont val="Calibri"/>
        <family val="2"/>
        <scheme val="minor"/>
      </rPr>
      <t>D</t>
    </r>
  </si>
  <si>
    <t>7.</t>
  </si>
  <si>
    <r>
      <t xml:space="preserve">Maximum Retention, </t>
    </r>
    <r>
      <rPr>
        <i/>
        <sz val="10"/>
        <color theme="1"/>
        <rFont val="Calibri"/>
        <family val="2"/>
        <scheme val="minor"/>
      </rPr>
      <t>S</t>
    </r>
  </si>
  <si>
    <t>6.</t>
  </si>
  <si>
    <t>RUNOFF VOLUME (NRCS EQUATIONS)</t>
  </si>
  <si>
    <r>
      <t xml:space="preserve">Depth of Rainfall, </t>
    </r>
    <r>
      <rPr>
        <i/>
        <sz val="10"/>
        <color theme="1"/>
        <rFont val="Calibri"/>
        <family val="2"/>
        <scheme val="minor"/>
      </rPr>
      <t>P</t>
    </r>
  </si>
  <si>
    <t>5.</t>
  </si>
  <si>
    <r>
      <t xml:space="preserve">Volume Control Storage Provided, </t>
    </r>
    <r>
      <rPr>
        <i/>
        <sz val="10"/>
        <color theme="1"/>
        <rFont val="Calibri"/>
        <family val="2"/>
        <scheme val="minor"/>
      </rPr>
      <t>VC</t>
    </r>
    <r>
      <rPr>
        <i/>
        <vertAlign val="subscript"/>
        <sz val="10"/>
        <color theme="1"/>
        <rFont val="Calibri"/>
        <family val="2"/>
        <scheme val="minor"/>
      </rPr>
      <t>P</t>
    </r>
  </si>
  <si>
    <t>4.</t>
  </si>
  <si>
    <t>3.</t>
  </si>
  <si>
    <t>acres</t>
  </si>
  <si>
    <t>2.</t>
  </si>
  <si>
    <t>1.</t>
  </si>
  <si>
    <t xml:space="preserve">SHEET FLOW </t>
  </si>
  <si>
    <t>Segment ID</t>
  </si>
  <si>
    <t>Surface description</t>
  </si>
  <si>
    <r>
      <t xml:space="preserve">Manning's roughness coefficient, </t>
    </r>
    <r>
      <rPr>
        <i/>
        <sz val="10"/>
        <color theme="1"/>
        <rFont val="Calibri"/>
        <family val="2"/>
        <scheme val="minor"/>
      </rPr>
      <t>n</t>
    </r>
  </si>
  <si>
    <t>ft</t>
  </si>
  <si>
    <r>
      <t xml:space="preserve">2-year, 24-hr rainfall, </t>
    </r>
    <r>
      <rPr>
        <i/>
        <sz val="10"/>
        <color theme="1"/>
        <rFont val="Calibri"/>
        <family val="2"/>
        <scheme val="minor"/>
      </rPr>
      <t>P</t>
    </r>
    <r>
      <rPr>
        <i/>
        <vertAlign val="subscript"/>
        <sz val="10"/>
        <color theme="1"/>
        <rFont val="Calibri"/>
        <family val="2"/>
        <scheme val="minor"/>
      </rPr>
      <t>2</t>
    </r>
  </si>
  <si>
    <t>in</t>
  </si>
  <si>
    <r>
      <t xml:space="preserve">Land slope, </t>
    </r>
    <r>
      <rPr>
        <i/>
        <sz val="10"/>
        <color theme="1"/>
        <rFont val="Calibri"/>
        <family val="2"/>
        <scheme val="minor"/>
      </rPr>
      <t>s</t>
    </r>
  </si>
  <si>
    <t>ft/ft</t>
  </si>
  <si>
    <t>+</t>
  </si>
  <si>
    <t>hr</t>
  </si>
  <si>
    <t>SHALLOW CONCENTRATED FLOW</t>
  </si>
  <si>
    <t>Unpaved</t>
  </si>
  <si>
    <t>Paved</t>
  </si>
  <si>
    <t>fps</t>
  </si>
  <si>
    <t>OPEN CHANNEL FLOW</t>
  </si>
  <si>
    <t>15.</t>
  </si>
  <si>
    <r>
      <t xml:space="preserve">Cross-sectional flow area, </t>
    </r>
    <r>
      <rPr>
        <i/>
        <sz val="10"/>
        <color theme="1"/>
        <rFont val="Calibri"/>
        <family val="2"/>
        <scheme val="minor"/>
      </rPr>
      <t>A</t>
    </r>
  </si>
  <si>
    <t>16.</t>
  </si>
  <si>
    <r>
      <t xml:space="preserve">Wetted Perimeter, </t>
    </r>
    <r>
      <rPr>
        <i/>
        <sz val="10"/>
        <color theme="1"/>
        <rFont val="Calibri"/>
        <family val="2"/>
        <scheme val="minor"/>
      </rPr>
      <t>P</t>
    </r>
    <r>
      <rPr>
        <i/>
        <vertAlign val="subscript"/>
        <sz val="10"/>
        <color theme="1"/>
        <rFont val="Calibri"/>
        <family val="2"/>
        <scheme val="minor"/>
      </rPr>
      <t>w</t>
    </r>
  </si>
  <si>
    <t>17.</t>
  </si>
  <si>
    <t>18.</t>
  </si>
  <si>
    <t>19.</t>
  </si>
  <si>
    <r>
      <t xml:space="preserve">Channel slope, </t>
    </r>
    <r>
      <rPr>
        <i/>
        <sz val="10"/>
        <color theme="1"/>
        <rFont val="Calibri"/>
        <family val="2"/>
        <scheme val="minor"/>
      </rPr>
      <t>S</t>
    </r>
  </si>
  <si>
    <t>20.</t>
  </si>
  <si>
    <t>21.</t>
  </si>
  <si>
    <t>22.</t>
  </si>
  <si>
    <r>
      <t>TIME-OF-CONCENTRATION (</t>
    </r>
    <r>
      <rPr>
        <b/>
        <i/>
        <sz val="10"/>
        <color theme="1"/>
        <rFont val="Calibri"/>
        <family val="2"/>
        <scheme val="minor"/>
      </rPr>
      <t>T</t>
    </r>
    <r>
      <rPr>
        <b/>
        <i/>
        <vertAlign val="subscript"/>
        <sz val="10"/>
        <color theme="1"/>
        <rFont val="Calibri"/>
        <family val="2"/>
        <scheme val="minor"/>
      </rPr>
      <t>c</t>
    </r>
    <r>
      <rPr>
        <b/>
        <sz val="10"/>
        <color theme="1"/>
        <rFont val="Calibri"/>
        <family val="2"/>
        <scheme val="minor"/>
      </rPr>
      <t>) OR TRAVEL TIME (</t>
    </r>
    <r>
      <rPr>
        <b/>
        <i/>
        <sz val="10"/>
        <color theme="1"/>
        <rFont val="Calibri"/>
        <family val="2"/>
        <scheme val="minor"/>
      </rPr>
      <t>T</t>
    </r>
    <r>
      <rPr>
        <b/>
        <i/>
        <vertAlign val="subscript"/>
        <sz val="10"/>
        <color theme="1"/>
        <rFont val="Calibri"/>
        <family val="2"/>
        <scheme val="minor"/>
      </rPr>
      <t>t</t>
    </r>
    <r>
      <rPr>
        <b/>
        <sz val="10"/>
        <color theme="1"/>
        <rFont val="Calibri"/>
        <family val="2"/>
        <scheme val="minor"/>
      </rPr>
      <t>)</t>
    </r>
  </si>
  <si>
    <t>23.</t>
  </si>
  <si>
    <r>
      <t xml:space="preserve">Time-of-Concentration, </t>
    </r>
    <r>
      <rPr>
        <i/>
        <sz val="10"/>
        <color theme="1"/>
        <rFont val="Calibri"/>
        <family val="2"/>
        <scheme val="minor"/>
      </rPr>
      <t xml:space="preserve">Tc, </t>
    </r>
    <r>
      <rPr>
        <sz val="10"/>
        <color theme="1"/>
        <rFont val="Calibri"/>
        <family val="2"/>
        <scheme val="minor"/>
      </rPr>
      <t xml:space="preserve">or Travel Time, </t>
    </r>
    <r>
      <rPr>
        <i/>
        <sz val="10"/>
        <color theme="1"/>
        <rFont val="Calibri"/>
        <family val="2"/>
        <scheme val="minor"/>
      </rPr>
      <t>Tt</t>
    </r>
  </si>
  <si>
    <r>
      <t xml:space="preserve">Area, </t>
    </r>
    <r>
      <rPr>
        <i/>
        <sz val="10"/>
        <color theme="1"/>
        <rFont val="Calibri"/>
        <family val="2"/>
        <scheme val="minor"/>
      </rPr>
      <t>A</t>
    </r>
  </si>
  <si>
    <r>
      <t>Curve Number,</t>
    </r>
    <r>
      <rPr>
        <i/>
        <sz val="10"/>
        <color theme="1"/>
        <rFont val="Calibri"/>
        <family val="2"/>
        <scheme val="minor"/>
      </rPr>
      <t xml:space="preserve"> CN</t>
    </r>
  </si>
  <si>
    <r>
      <t xml:space="preserve">100-year, 24-hr Rainfall Depth, </t>
    </r>
    <r>
      <rPr>
        <i/>
        <sz val="10"/>
        <color theme="1"/>
        <rFont val="Calibri"/>
        <family val="2"/>
        <scheme val="minor"/>
      </rPr>
      <t>P</t>
    </r>
  </si>
  <si>
    <t>RUNOFF DEPTH (NRCS RUNOFF EQUATIONS)</t>
  </si>
  <si>
    <t>RUNOFF VOLUME</t>
  </si>
  <si>
    <r>
      <t xml:space="preserve">Runoff Volume, </t>
    </r>
    <r>
      <rPr>
        <i/>
        <sz val="10"/>
        <color theme="1"/>
        <rFont val="Calibri"/>
        <family val="2"/>
        <scheme val="minor"/>
      </rPr>
      <t>V</t>
    </r>
    <r>
      <rPr>
        <i/>
        <vertAlign val="subscript"/>
        <sz val="10"/>
        <color theme="1"/>
        <rFont val="Calibri"/>
        <family val="2"/>
        <scheme val="minor"/>
      </rPr>
      <t>R</t>
    </r>
  </si>
  <si>
    <t>MODIFIED RATIONAL METHOD: TP-40 RAINFALL DATA</t>
  </si>
  <si>
    <t>cfs</t>
  </si>
  <si>
    <t>REQUIRED DETENTION VOLUME</t>
  </si>
  <si>
    <t>CALCULATION TABLE</t>
  </si>
  <si>
    <t>Rainfall Intensity
(in/hr)</t>
  </si>
  <si>
    <t>Inflow Rate
(cfs)</t>
  </si>
  <si>
    <t>Stored Rate
(cfs)</t>
  </si>
  <si>
    <t>Required Storage
(ac-ft)</t>
  </si>
  <si>
    <t>min</t>
  </si>
  <si>
    <t>Storm Duration</t>
  </si>
  <si>
    <r>
      <t>NRCS TIME OF CONCENTRATION (</t>
    </r>
    <r>
      <rPr>
        <b/>
        <i/>
        <sz val="14"/>
        <color theme="1"/>
        <rFont val="Calibri"/>
        <family val="2"/>
        <scheme val="minor"/>
      </rPr>
      <t>T</t>
    </r>
    <r>
      <rPr>
        <b/>
        <i/>
        <vertAlign val="subscript"/>
        <sz val="14"/>
        <color theme="1"/>
        <rFont val="Calibri"/>
        <family val="2"/>
        <scheme val="minor"/>
      </rPr>
      <t>c</t>
    </r>
    <r>
      <rPr>
        <b/>
        <sz val="14"/>
        <color theme="1"/>
        <rFont val="Calibri"/>
        <family val="2"/>
        <scheme val="minor"/>
      </rPr>
      <t>) OR TRAVEL TIME (</t>
    </r>
    <r>
      <rPr>
        <b/>
        <i/>
        <sz val="14"/>
        <color theme="1"/>
        <rFont val="Calibri"/>
        <family val="2"/>
        <scheme val="minor"/>
      </rPr>
      <t>T</t>
    </r>
    <r>
      <rPr>
        <b/>
        <i/>
        <vertAlign val="subscript"/>
        <sz val="14"/>
        <color theme="1"/>
        <rFont val="Calibri"/>
        <family val="2"/>
        <scheme val="minor"/>
      </rPr>
      <t>t</t>
    </r>
    <r>
      <rPr>
        <b/>
        <sz val="14"/>
        <color theme="1"/>
        <rFont val="Calibri"/>
        <family val="2"/>
        <scheme val="minor"/>
      </rPr>
      <t>)</t>
    </r>
  </si>
  <si>
    <r>
      <t xml:space="preserve">Average velocity, </t>
    </r>
    <r>
      <rPr>
        <i/>
        <sz val="10"/>
        <color theme="1"/>
        <rFont val="Calibri"/>
        <family val="2"/>
        <scheme val="minor"/>
      </rPr>
      <t>V</t>
    </r>
  </si>
  <si>
    <t>Surface description (drop-down list)</t>
  </si>
  <si>
    <r>
      <t>ft</t>
    </r>
    <r>
      <rPr>
        <vertAlign val="superscript"/>
        <sz val="9"/>
        <color theme="1"/>
        <rFont val="Calibri"/>
        <family val="2"/>
        <scheme val="minor"/>
      </rPr>
      <t>2</t>
    </r>
  </si>
  <si>
    <r>
      <t>Flow length,</t>
    </r>
    <r>
      <rPr>
        <i/>
        <sz val="10"/>
        <color theme="1"/>
        <rFont val="Calibri"/>
        <family val="2"/>
        <scheme val="minor"/>
      </rPr>
      <t xml:space="preserve"> L</t>
    </r>
    <r>
      <rPr>
        <sz val="10"/>
        <color theme="1"/>
        <rFont val="Calibri"/>
        <family val="2"/>
        <scheme val="minor"/>
      </rPr>
      <t xml:space="preserve">  (</t>
    </r>
    <r>
      <rPr>
        <sz val="10"/>
        <color theme="1"/>
        <rFont val="Calibri"/>
        <family val="2"/>
      </rPr>
      <t>≤ 100 ft)</t>
    </r>
  </si>
  <si>
    <r>
      <t xml:space="preserve">Flow length, </t>
    </r>
    <r>
      <rPr>
        <i/>
        <sz val="10"/>
        <color theme="1"/>
        <rFont val="Calibri"/>
        <family val="2"/>
        <scheme val="minor"/>
      </rPr>
      <t>L</t>
    </r>
  </si>
  <si>
    <r>
      <t xml:space="preserve">Watercourse slope, </t>
    </r>
    <r>
      <rPr>
        <i/>
        <sz val="10"/>
        <color theme="1"/>
        <rFont val="Calibri"/>
        <family val="2"/>
        <scheme val="minor"/>
      </rPr>
      <t>s</t>
    </r>
  </si>
  <si>
    <r>
      <t xml:space="preserve">Flow Length, </t>
    </r>
    <r>
      <rPr>
        <i/>
        <sz val="10"/>
        <color theme="1"/>
        <rFont val="Calibri"/>
        <family val="2"/>
        <scheme val="minor"/>
      </rPr>
      <t>L</t>
    </r>
  </si>
  <si>
    <r>
      <t xml:space="preserve">Travel time, </t>
    </r>
    <r>
      <rPr>
        <i/>
        <sz val="10"/>
        <color theme="1"/>
        <rFont val="Calibri"/>
        <family val="2"/>
        <scheme val="minor"/>
      </rPr>
      <t>T</t>
    </r>
    <r>
      <rPr>
        <i/>
        <vertAlign val="subscript"/>
        <sz val="10"/>
        <color theme="1"/>
        <rFont val="Calibri"/>
        <family val="2"/>
        <scheme val="minor"/>
      </rPr>
      <t>t</t>
    </r>
  </si>
  <si>
    <r>
      <t>SPO TIME OF CONCENTRATION (</t>
    </r>
    <r>
      <rPr>
        <b/>
        <i/>
        <sz val="14"/>
        <color theme="1"/>
        <rFont val="Calibri"/>
        <family val="2"/>
        <scheme val="minor"/>
      </rPr>
      <t>T</t>
    </r>
    <r>
      <rPr>
        <b/>
        <i/>
        <vertAlign val="subscript"/>
        <sz val="14"/>
        <color theme="1"/>
        <rFont val="Calibri"/>
        <family val="2"/>
        <scheme val="minor"/>
      </rPr>
      <t>c</t>
    </r>
    <r>
      <rPr>
        <b/>
        <sz val="14"/>
        <color theme="1"/>
        <rFont val="Calibri"/>
        <family val="2"/>
        <scheme val="minor"/>
      </rPr>
      <t>)</t>
    </r>
  </si>
  <si>
    <t>OVERLAND FLOW</t>
  </si>
  <si>
    <r>
      <t>Flow length,</t>
    </r>
    <r>
      <rPr>
        <i/>
        <sz val="10"/>
        <color theme="1"/>
        <rFont val="Calibri"/>
        <family val="2"/>
        <scheme val="minor"/>
      </rPr>
      <t xml:space="preserve"> L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</si>
  <si>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Hydraulic radius, </t>
    </r>
    <r>
      <rPr>
        <i/>
        <sz val="10"/>
        <color theme="1"/>
        <rFont val="Calibri"/>
        <family val="2"/>
        <scheme val="minor"/>
      </rPr>
      <t>R</t>
    </r>
  </si>
  <si>
    <r>
      <t xml:space="preserve">Time-of-Concentration, </t>
    </r>
    <r>
      <rPr>
        <i/>
        <sz val="10"/>
        <color theme="1"/>
        <rFont val="Calibri"/>
        <family val="2"/>
        <scheme val="minor"/>
      </rPr>
      <t>Tc</t>
    </r>
  </si>
  <si>
    <r>
      <t>ADJUSTED COMPOSITE RUNOFF CURVE NUMBER (</t>
    </r>
    <r>
      <rPr>
        <b/>
        <i/>
        <sz val="14"/>
        <color theme="1"/>
        <rFont val="Calibri"/>
        <family val="2"/>
        <scheme val="minor"/>
      </rPr>
      <t>CN</t>
    </r>
    <r>
      <rPr>
        <b/>
        <i/>
        <vertAlign val="subscript"/>
        <sz val="14"/>
        <color theme="1"/>
        <rFont val="Calibri"/>
        <family val="2"/>
        <scheme val="minor"/>
      </rPr>
      <t>ADJ</t>
    </r>
    <r>
      <rPr>
        <b/>
        <sz val="14"/>
        <color theme="1"/>
        <rFont val="Calibri"/>
        <family val="2"/>
        <scheme val="minor"/>
      </rPr>
      <t>)</t>
    </r>
  </si>
  <si>
    <r>
      <t xml:space="preserve">Discharge Coefficient, </t>
    </r>
    <r>
      <rPr>
        <i/>
        <sz val="10"/>
        <color theme="1"/>
        <rFont val="Calibri"/>
        <family val="2"/>
        <scheme val="minor"/>
      </rPr>
      <t>C</t>
    </r>
    <r>
      <rPr>
        <i/>
        <vertAlign val="subscript"/>
        <sz val="10"/>
        <color theme="1"/>
        <rFont val="Calibri"/>
        <family val="2"/>
        <scheme val="minor"/>
      </rPr>
      <t>d</t>
    </r>
  </si>
  <si>
    <r>
      <t xml:space="preserve">Orifice diameter, </t>
    </r>
    <r>
      <rPr>
        <i/>
        <sz val="10"/>
        <color theme="1"/>
        <rFont val="Calibri"/>
        <family val="2"/>
        <scheme val="minor"/>
      </rPr>
      <t>d</t>
    </r>
  </si>
  <si>
    <t>High Water Elevation, HWL</t>
  </si>
  <si>
    <t>Invert Elevation</t>
  </si>
  <si>
    <t>Tail Water Elevation</t>
  </si>
  <si>
    <t>ACTUAL RELEASE RATE</t>
  </si>
  <si>
    <t>Free Flow Actual Release Rate at HWL</t>
  </si>
  <si>
    <t>Submerged Actual Release Rate at HWL</t>
  </si>
  <si>
    <r>
      <t xml:space="preserve">Area Detained, </t>
    </r>
    <r>
      <rPr>
        <i/>
        <sz val="10"/>
        <color theme="1"/>
        <rFont val="Calibri"/>
        <family val="2"/>
        <scheme val="minor"/>
      </rPr>
      <t>A</t>
    </r>
  </si>
  <si>
    <r>
      <t>Total Impervious Area</t>
    </r>
    <r>
      <rPr>
        <i/>
        <sz val="10"/>
        <color theme="1"/>
        <rFont val="Calibri"/>
        <family val="2"/>
        <scheme val="minor"/>
      </rPr>
      <t/>
    </r>
  </si>
  <si>
    <t>Additional Volume Control Storage Provided</t>
  </si>
  <si>
    <t>RUNOFF COEFFICIENT</t>
  </si>
  <si>
    <t>DEVELOPMENT INFORMTION</t>
  </si>
  <si>
    <t>STORM SEWER DETENTION VOLUME</t>
  </si>
  <si>
    <t>Elevation
(ft)</t>
  </si>
  <si>
    <t>acre</t>
  </si>
  <si>
    <t>Area</t>
  </si>
  <si>
    <r>
      <t>TIME-OF-CONCENTRATION (</t>
    </r>
    <r>
      <rPr>
        <b/>
        <i/>
        <sz val="10"/>
        <color theme="1"/>
        <rFont val="Calibri"/>
        <family val="2"/>
        <scheme val="minor"/>
      </rPr>
      <t>T</t>
    </r>
    <r>
      <rPr>
        <b/>
        <i/>
        <vertAlign val="subscript"/>
        <sz val="10"/>
        <color theme="1"/>
        <rFont val="Calibri"/>
        <family val="2"/>
        <scheme val="minor"/>
      </rPr>
      <t>c</t>
    </r>
    <r>
      <rPr>
        <b/>
        <sz val="10"/>
        <color theme="1"/>
        <rFont val="Calibri"/>
        <family val="2"/>
        <scheme val="minor"/>
      </rPr>
      <t>)</t>
    </r>
  </si>
  <si>
    <t>DETAINED AREA</t>
  </si>
  <si>
    <t>UNRESTRICTED AREA</t>
  </si>
  <si>
    <t>UPSTREAM AREA</t>
  </si>
  <si>
    <t>OTHER:</t>
  </si>
  <si>
    <t>MAJOR STORMWATER SYSTEM</t>
  </si>
  <si>
    <t>Average Area</t>
  </si>
  <si>
    <t>Cumulative Volume
(ac-ft)</t>
  </si>
  <si>
    <t>AREA UNITS (CHOOSE WITH DROP-DOWN)</t>
  </si>
  <si>
    <r>
      <t>ft</t>
    </r>
    <r>
      <rPr>
        <sz val="10"/>
        <color theme="1"/>
        <rFont val="Calibri"/>
        <family val="2"/>
      </rPr>
      <t>²</t>
    </r>
  </si>
  <si>
    <t>Diameter
(in)</t>
  </si>
  <si>
    <t>Length
(ft)</t>
  </si>
  <si>
    <t>TOTAL DETENTION VOLUME</t>
  </si>
  <si>
    <t>Volume
(ac-ft)</t>
  </si>
  <si>
    <t xml:space="preserve">Storm Sewer Detention Volume (ac-ft)    </t>
  </si>
  <si>
    <t xml:space="preserve">Total Detention Volume (ac-ft)    </t>
  </si>
  <si>
    <t>RESTRICTOR INFORMTION</t>
  </si>
  <si>
    <t>Orifice Number</t>
  </si>
  <si>
    <t>STAGE-DISCHARGE TABLE</t>
  </si>
  <si>
    <t>Orifice 1
(cfs)</t>
  </si>
  <si>
    <t>Orifice 2
(cfs)</t>
  </si>
  <si>
    <t>Total
(cfs)</t>
  </si>
  <si>
    <t>Free-flow</t>
  </si>
  <si>
    <t>Submerged</t>
  </si>
  <si>
    <t>Detained Area</t>
  </si>
  <si>
    <t>Curve Number</t>
  </si>
  <si>
    <t>Actual Release Rate</t>
  </si>
  <si>
    <t>.</t>
  </si>
  <si>
    <t>Required Detention Volume</t>
  </si>
  <si>
    <t>NOMOGRAPH</t>
  </si>
  <si>
    <t>cfs/ac</t>
  </si>
  <si>
    <t>ac-ft/ac</t>
  </si>
  <si>
    <t>High</t>
  </si>
  <si>
    <t>Low</t>
  </si>
  <si>
    <t>STAGE-DISCHARGE TABLE CONDITION (SELECT FROM DROP-DOWN)</t>
  </si>
  <si>
    <t>POND / VAULT / SURFACE DETENTION VOLUME</t>
  </si>
  <si>
    <t xml:space="preserve">Pond / Vault / Surface Detention Volume (ac-ft)    </t>
  </si>
  <si>
    <t>X</t>
  </si>
  <si>
    <t>CONDITION (SELECT FROM DROP-DOWN)</t>
  </si>
  <si>
    <t>TYPE OF AREA (SELECT WITH DROP-DOWN)</t>
  </si>
  <si>
    <t>CONDITION (SELECT WITH DROP-DOWN)</t>
  </si>
  <si>
    <t>DEVELOPMENT INFORMATION</t>
  </si>
  <si>
    <t>Composite Runoff Coefficient</t>
  </si>
  <si>
    <t>Runoff Coefficient</t>
  </si>
  <si>
    <t>Units:</t>
  </si>
  <si>
    <t>Increment Volume
(ac-ft)</t>
  </si>
  <si>
    <t>ORIFICE DISCHARGE RATE</t>
  </si>
  <si>
    <r>
      <t>COMPOSITE RUNOFF COEFFICIENT (</t>
    </r>
    <r>
      <rPr>
        <b/>
        <i/>
        <sz val="14"/>
        <color theme="1"/>
        <rFont val="Calibri"/>
        <family val="2"/>
        <scheme val="minor"/>
      </rPr>
      <t>C</t>
    </r>
    <r>
      <rPr>
        <b/>
        <sz val="14"/>
        <color theme="1"/>
        <rFont val="Calibri"/>
        <family val="2"/>
        <scheme val="minor"/>
      </rPr>
      <t>)</t>
    </r>
  </si>
  <si>
    <t>DETENTION VOLUME PROVIDED</t>
  </si>
  <si>
    <r>
      <t>COMPOSITE RUNOFF CURVE NUMBER (</t>
    </r>
    <r>
      <rPr>
        <b/>
        <i/>
        <sz val="14"/>
        <color theme="1"/>
        <rFont val="Calibri"/>
        <family val="2"/>
        <scheme val="minor"/>
      </rPr>
      <t>CN</t>
    </r>
    <r>
      <rPr>
        <b/>
        <sz val="14"/>
        <color theme="1"/>
        <rFont val="Calibri"/>
        <family val="2"/>
        <scheme val="minor"/>
      </rPr>
      <t>)</t>
    </r>
  </si>
  <si>
    <t>RUNOFF CURVE NUMBER</t>
  </si>
  <si>
    <t>Hydrologic Soil Group
(HSG)</t>
  </si>
  <si>
    <t>Product
(CN)(Area)</t>
  </si>
  <si>
    <t>COMPOSITE RUNOFF CURVE NUMBER</t>
  </si>
  <si>
    <t>NOMOGRAPH: BULLETIN 70 RAINFALL DATA</t>
  </si>
  <si>
    <t>MODIFIED RATIONAL METHOD: BULLETIN 70 RAINFALL DATA</t>
  </si>
  <si>
    <t>NOMOGRAPH: BULLETIN 75 RAINFALL DATA</t>
  </si>
  <si>
    <t>MODIFIED RATIONAL METHOD: BULLETIN 75 RAINFALL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</si>
</sst>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0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vertAlign val="subscript"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vertAlign val="subscript"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2" fontId="2" fillId="0" borderId="0" xfId="0" applyNumberFormat="1" applyFont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2" fontId="2" fillId="0" borderId="24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right"/>
    </xf>
    <xf numFmtId="2" fontId="14" fillId="0" borderId="0" xfId="0" applyNumberFormat="1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5" fillId="0" borderId="0" xfId="0" applyFont="1"/>
    <xf numFmtId="164" fontId="15" fillId="0" borderId="0" xfId="0" applyNumberFormat="1" applyFont="1"/>
    <xf numFmtId="2" fontId="2" fillId="0" borderId="23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0" fillId="0" borderId="0" xfId="0" applyFont="1"/>
    <xf numFmtId="49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left" vertical="center"/>
    </xf>
    <xf numFmtId="166" fontId="2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right"/>
    </xf>
    <xf numFmtId="2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/>
    <xf numFmtId="164" fontId="18" fillId="0" borderId="0" xfId="0" applyNumberFormat="1" applyFont="1"/>
    <xf numFmtId="164" fontId="2" fillId="0" borderId="0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7" xfId="0" applyNumberFormat="1" applyFont="1" applyFill="1" applyBorder="1" applyAlignment="1" applyProtection="1">
      <alignment horizontal="center" vertical="center"/>
      <protection locked="0"/>
    </xf>
    <xf numFmtId="164" fontId="2" fillId="0" borderId="8" xfId="0" applyNumberFormat="1" applyFont="1" applyFill="1" applyBorder="1" applyAlignment="1" applyProtection="1">
      <alignment horizontal="center" vertical="center"/>
      <protection locked="0"/>
    </xf>
    <xf numFmtId="164" fontId="2" fillId="0" borderId="9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3" fillId="0" borderId="22" xfId="0" applyNumberFormat="1" applyFont="1" applyFill="1" applyBorder="1" applyAlignment="1">
      <alignment horizontal="center" vertical="center"/>
    </xf>
    <xf numFmtId="2" fontId="3" fillId="0" borderId="21" xfId="0" applyNumberFormat="1" applyFont="1" applyFill="1" applyBorder="1" applyAlignment="1">
      <alignment horizontal="center" vertical="center"/>
    </xf>
    <xf numFmtId="2" fontId="3" fillId="0" borderId="20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2" fontId="2" fillId="0" borderId="7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25" xfId="0" applyNumberFormat="1" applyFont="1" applyBorder="1" applyAlignment="1" applyProtection="1">
      <alignment horizontal="center" vertical="center"/>
      <protection locked="0"/>
    </xf>
    <xf numFmtId="0" fontId="2" fillId="0" borderId="25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horizontal="center" vertical="center"/>
      <protection locked="0"/>
    </xf>
    <xf numFmtId="164" fontId="2" fillId="0" borderId="24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2" fontId="2" fillId="0" borderId="10" xfId="0" applyNumberFormat="1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3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49" fontId="2" fillId="0" borderId="7" xfId="0" applyNumberFormat="1" applyFont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left" vertical="center" wrapText="1"/>
      <protection locked="0"/>
    </xf>
    <xf numFmtId="49" fontId="2" fillId="0" borderId="9" xfId="0" applyNumberFormat="1" applyFont="1" applyBorder="1" applyAlignment="1" applyProtection="1">
      <alignment horizontal="left" vertical="center" wrapText="1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1" fontId="2" fillId="0" borderId="7" xfId="0" applyNumberFormat="1" applyFont="1" applyBorder="1" applyAlignment="1" applyProtection="1">
      <alignment horizontal="center" vertical="center"/>
      <protection locked="0"/>
    </xf>
    <xf numFmtId="1" fontId="2" fillId="0" borderId="8" xfId="0" applyNumberFormat="1" applyFont="1" applyBorder="1" applyAlignment="1" applyProtection="1">
      <alignment horizontal="center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6" xfId="0" applyNumberFormat="1" applyFont="1" applyBorder="1" applyAlignment="1" applyProtection="1">
      <alignment horizontal="left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1" fontId="2" fillId="0" borderId="4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right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2" fontId="2" fillId="0" borderId="5" xfId="0" applyNumberFormat="1" applyFont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2" fontId="3" fillId="0" borderId="14" xfId="0" applyNumberFormat="1" applyFont="1" applyFill="1" applyBorder="1" applyAlignment="1">
      <alignment horizontal="center" vertical="center"/>
    </xf>
    <xf numFmtId="2" fontId="3" fillId="0" borderId="15" xfId="0" applyNumberFormat="1" applyFont="1" applyFill="1" applyBorder="1" applyAlignment="1">
      <alignment horizontal="center" vertical="center"/>
    </xf>
    <xf numFmtId="2" fontId="3" fillId="0" borderId="16" xfId="0" applyNumberFormat="1" applyFont="1" applyFill="1" applyBorder="1" applyAlignment="1">
      <alignment horizontal="center" vertical="center"/>
    </xf>
    <xf numFmtId="2" fontId="3" fillId="0" borderId="18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9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left" vertical="center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2" fontId="2" fillId="0" borderId="7" xfId="0" applyNumberFormat="1" applyFont="1" applyBorder="1" applyAlignment="1" applyProtection="1">
      <alignment horizontal="center" vertical="center"/>
      <protection locked="0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2" fontId="2" fillId="0" borderId="9" xfId="0" applyNumberFormat="1" applyFont="1" applyBorder="1" applyAlignment="1" applyProtection="1">
      <alignment horizontal="center" vertical="center"/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2" fontId="2" fillId="0" borderId="5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0" borderId="4" xfId="0" applyNumberFormat="1" applyFont="1" applyBorder="1" applyAlignment="1" applyProtection="1">
      <alignment horizontal="center" vertical="center"/>
    </xf>
    <xf numFmtId="2" fontId="2" fillId="0" borderId="5" xfId="0" applyNumberFormat="1" applyFont="1" applyBorder="1" applyAlignment="1" applyProtection="1">
      <alignment horizontal="center" vertical="center"/>
    </xf>
    <xf numFmtId="2" fontId="2" fillId="0" borderId="6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3" fillId="0" borderId="22" xfId="0" applyNumberFormat="1" applyFont="1" applyFill="1" applyBorder="1" applyAlignment="1">
      <alignment horizontal="center" vertical="center"/>
    </xf>
    <xf numFmtId="164" fontId="3" fillId="0" borderId="21" xfId="0" applyNumberFormat="1" applyFont="1" applyFill="1" applyBorder="1" applyAlignment="1">
      <alignment horizontal="center" vertical="center"/>
    </xf>
    <xf numFmtId="164" fontId="3" fillId="0" borderId="20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64" fontId="3" fillId="0" borderId="4" xfId="0" applyNumberFormat="1" applyFont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1" fontId="11" fillId="4" borderId="0" xfId="0" applyNumberFormat="1" applyFont="1" applyFill="1" applyBorder="1" applyAlignment="1">
      <alignment horizontal="center" vertical="center"/>
    </xf>
    <xf numFmtId="164" fontId="11" fillId="4" borderId="0" xfId="0" applyNumberFormat="1" applyFont="1" applyFill="1" applyBorder="1" applyAlignment="1">
      <alignment horizontal="center" vertical="center"/>
    </xf>
    <xf numFmtId="2" fontId="11" fillId="4" borderId="0" xfId="0" applyNumberFormat="1" applyFont="1" applyFill="1" applyBorder="1" applyAlignment="1">
      <alignment horizontal="center" vertical="center"/>
    </xf>
    <xf numFmtId="165" fontId="11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11" fillId="0" borderId="4" xfId="0" applyNumberFormat="1" applyFont="1" applyBorder="1" applyAlignment="1">
      <alignment horizontal="right" vertical="center"/>
    </xf>
    <xf numFmtId="1" fontId="11" fillId="0" borderId="5" xfId="0" applyNumberFormat="1" applyFont="1" applyBorder="1" applyAlignment="1">
      <alignment horizontal="right" vertical="center"/>
    </xf>
    <xf numFmtId="1" fontId="11" fillId="0" borderId="5" xfId="0" applyNumberFormat="1" applyFont="1" applyBorder="1" applyAlignment="1">
      <alignment horizontal="left" vertical="center"/>
    </xf>
    <xf numFmtId="1" fontId="11" fillId="0" borderId="6" xfId="0" applyNumberFormat="1" applyFont="1" applyBorder="1" applyAlignment="1">
      <alignment horizontal="left" vertical="center"/>
    </xf>
    <xf numFmtId="2" fontId="11" fillId="0" borderId="4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2" fontId="11" fillId="0" borderId="6" xfId="0" applyNumberFormat="1" applyFont="1" applyFill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164" fontId="11" fillId="0" borderId="6" xfId="0" applyNumberFormat="1" applyFont="1" applyFill="1" applyBorder="1" applyAlignment="1">
      <alignment horizontal="center" vertical="center"/>
    </xf>
    <xf numFmtId="164" fontId="11" fillId="0" borderId="10" xfId="0" applyNumberFormat="1" applyFont="1" applyFill="1" applyBorder="1" applyAlignment="1">
      <alignment horizontal="center" vertical="center"/>
    </xf>
    <xf numFmtId="165" fontId="11" fillId="0" borderId="4" xfId="0" applyNumberFormat="1" applyFont="1" applyBorder="1" applyAlignment="1">
      <alignment horizontal="right" vertical="center"/>
    </xf>
    <xf numFmtId="165" fontId="11" fillId="0" borderId="5" xfId="0" applyNumberFormat="1" applyFont="1" applyBorder="1" applyAlignment="1">
      <alignment horizontal="right" vertical="center"/>
    </xf>
    <xf numFmtId="164" fontId="11" fillId="0" borderId="5" xfId="0" applyNumberFormat="1" applyFont="1" applyBorder="1" applyAlignment="1">
      <alignment horizontal="left" vertical="center"/>
    </xf>
    <xf numFmtId="164" fontId="11" fillId="0" borderId="6" xfId="0" applyNumberFormat="1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 applyProtection="1">
      <alignment horizontal="center" vertical="center"/>
      <protection locked="0"/>
    </xf>
    <xf numFmtId="1" fontId="2" fillId="0" borderId="5" xfId="0" applyNumberFormat="1" applyFont="1" applyFill="1" applyBorder="1" applyAlignment="1" applyProtection="1">
      <alignment horizontal="center" vertical="center"/>
      <protection locked="0"/>
    </xf>
    <xf numFmtId="1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12" xfId="0" applyNumberFormat="1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2" fontId="3" fillId="0" borderId="27" xfId="0" applyNumberFormat="1" applyFont="1" applyFill="1" applyBorder="1" applyAlignment="1">
      <alignment horizontal="center" vertical="center"/>
    </xf>
    <xf numFmtId="2" fontId="3" fillId="0" borderId="28" xfId="0" applyNumberFormat="1" applyFont="1" applyFill="1" applyBorder="1" applyAlignment="1">
      <alignment horizontal="center" vertical="center"/>
    </xf>
    <xf numFmtId="2" fontId="3" fillId="0" borderId="29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12"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colors>
    <mruColors>
      <color rgb="FF001B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NOMOGRAPH:</a:t>
            </a:r>
            <a:r>
              <a:rPr lang="en-US" baseline="0"/>
              <a:t> BULLETIN 75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725409091502197"/>
          <c:y val="0.10645386073773191"/>
          <c:w val="0.78196177220366081"/>
          <c:h val="0.7637282667126698"/>
        </c:manualLayout>
      </c:layout>
      <c:scatterChart>
        <c:scatterStyle val="lineMarker"/>
        <c:varyColors val="0"/>
        <c:ser>
          <c:idx val="0"/>
          <c:order val="0"/>
          <c:tx>
            <c:v>0.30 cfs/ac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0B-4E53-9F41-40934190CAC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B-4E53-9F41-40934190CAC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0B-4E53-9F41-40934190CA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0B-4E53-9F41-40934190CAC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0B-4E53-9F41-40934190CAC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'NOMO B-75'!$AB$22:$AB$27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99</c:v>
                </c:pt>
              </c:numCache>
            </c:numRef>
          </c:xVal>
          <c:yVal>
            <c:numRef>
              <c:f>'NOMO B-75'!$AC$22:$AC$27</c:f>
              <c:numCache>
                <c:formatCode>0.000</c:formatCode>
                <c:ptCount val="6"/>
                <c:pt idx="0">
                  <c:v>4.3617998163452715E-2</c:v>
                </c:pt>
                <c:pt idx="1">
                  <c:v>0.11363636363636362</c:v>
                </c:pt>
                <c:pt idx="2">
                  <c:v>0.18939393939393936</c:v>
                </c:pt>
                <c:pt idx="3">
                  <c:v>0.26515151515151514</c:v>
                </c:pt>
                <c:pt idx="4">
                  <c:v>0.33631772268135907</c:v>
                </c:pt>
                <c:pt idx="5">
                  <c:v>0.38911845730027539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A7-491A-94E2-BF3B01694637}"/>
            </c:ext>
          </c:extLst>
        </c:ser>
        <c:ser>
          <c:idx val="1"/>
          <c:order val="1"/>
          <c:tx>
            <c:v>0.25 cfs/ac</c:v>
          </c:tx>
          <c:spPr>
            <a:ln w="127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0B-4E53-9F41-40934190CAC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0B-4E53-9F41-40934190CAC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0B-4E53-9F41-40934190CA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0B-4E53-9F41-40934190CAC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0B-4E53-9F41-40934190CAC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'NOMO B-75'!$AB$22:$AB$27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99</c:v>
                </c:pt>
              </c:numCache>
            </c:numRef>
          </c:xVal>
          <c:yVal>
            <c:numRef>
              <c:f>'NOMO B-75'!$AD$22:$AD$27</c:f>
              <c:numCache>
                <c:formatCode>0.000</c:formatCode>
                <c:ptCount val="6"/>
                <c:pt idx="0">
                  <c:v>6.5426997245179058E-2</c:v>
                </c:pt>
                <c:pt idx="1">
                  <c:v>0.1411845730027548</c:v>
                </c:pt>
                <c:pt idx="2">
                  <c:v>0.21923783287419649</c:v>
                </c:pt>
                <c:pt idx="3">
                  <c:v>0.29958677685950419</c:v>
                </c:pt>
                <c:pt idx="4">
                  <c:v>0.37649219467401285</c:v>
                </c:pt>
                <c:pt idx="5">
                  <c:v>0.43503213957759418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A7-491A-94E2-BF3B01694637}"/>
            </c:ext>
          </c:extLst>
        </c:ser>
        <c:ser>
          <c:idx val="2"/>
          <c:order val="2"/>
          <c:tx>
            <c:v>0.20 cfs/ac</c:v>
          </c:tx>
          <c:spPr>
            <a:ln w="127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0B-4E53-9F41-40934190CAC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0B-4E53-9F41-40934190CAC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0B-4E53-9F41-40934190CA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0B-4E53-9F41-40934190CAC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40B-4E53-9F41-40934190CAC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'NOMO B-75'!$AB$22:$AB$27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99</c:v>
                </c:pt>
              </c:numCache>
            </c:numRef>
          </c:xVal>
          <c:yVal>
            <c:numRef>
              <c:f>'NOMO B-75'!$AE$22:$AE$27</c:f>
              <c:numCache>
                <c:formatCode>0.000</c:formatCode>
                <c:ptCount val="6"/>
                <c:pt idx="0">
                  <c:v>9.0679522497704321E-2</c:v>
                </c:pt>
                <c:pt idx="1">
                  <c:v>0.16873278236914602</c:v>
                </c:pt>
                <c:pt idx="2">
                  <c:v>0.25137741046831957</c:v>
                </c:pt>
                <c:pt idx="3">
                  <c:v>0.3351698806244261</c:v>
                </c:pt>
                <c:pt idx="4">
                  <c:v>0.41551882460973377</c:v>
                </c:pt>
                <c:pt idx="5">
                  <c:v>0.48094582185491275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BA7-491A-94E2-BF3B01694637}"/>
            </c:ext>
          </c:extLst>
        </c:ser>
        <c:ser>
          <c:idx val="3"/>
          <c:order val="3"/>
          <c:tx>
            <c:v>0.15 cfs/ac</c:v>
          </c:tx>
          <c:spPr>
            <a:ln w="127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0B-4E53-9F41-40934190CAC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40B-4E53-9F41-40934190CAC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40B-4E53-9F41-40934190CA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40B-4E53-9F41-40934190CAC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40B-4E53-9F41-40934190CAC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'NOMO B-75'!$AB$22:$AB$27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99</c:v>
                </c:pt>
              </c:numCache>
            </c:numRef>
          </c:xVal>
          <c:yVal>
            <c:numRef>
              <c:f>'NOMO B-75'!$AF$22:$AF$27</c:f>
              <c:numCache>
                <c:formatCode>0.000</c:formatCode>
                <c:ptCount val="6"/>
                <c:pt idx="0">
                  <c:v>0.11593204775022954</c:v>
                </c:pt>
                <c:pt idx="1">
                  <c:v>0.19742883379247014</c:v>
                </c:pt>
                <c:pt idx="2">
                  <c:v>0.28466483011937554</c:v>
                </c:pt>
                <c:pt idx="3">
                  <c:v>0.37190082644628103</c:v>
                </c:pt>
                <c:pt idx="4">
                  <c:v>0.45798898071625338</c:v>
                </c:pt>
                <c:pt idx="5">
                  <c:v>0.53030303030303028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BA7-491A-94E2-BF3B01694637}"/>
            </c:ext>
          </c:extLst>
        </c:ser>
        <c:ser>
          <c:idx val="4"/>
          <c:order val="4"/>
          <c:tx>
            <c:v>0.10 cfs/ac</c:v>
          </c:tx>
          <c:spPr>
            <a:ln w="127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40B-4E53-9F41-40934190CAC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40B-4E53-9F41-40934190CAC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40B-4E53-9F41-40934190CA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40B-4E53-9F41-40934190CAC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40B-4E53-9F41-40934190CAC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'NOMO B-75'!$AB$22:$AB$27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99</c:v>
                </c:pt>
              </c:numCache>
            </c:numRef>
          </c:xVal>
          <c:yVal>
            <c:numRef>
              <c:f>'NOMO B-75'!$AG$22:$AG$27</c:f>
              <c:numCache>
                <c:formatCode>0.000</c:formatCode>
                <c:ptCount val="6"/>
                <c:pt idx="0">
                  <c:v>0.1423324150596878</c:v>
                </c:pt>
                <c:pt idx="1">
                  <c:v>0.23071625344352617</c:v>
                </c:pt>
                <c:pt idx="2">
                  <c:v>0.32369146005509641</c:v>
                </c:pt>
                <c:pt idx="3">
                  <c:v>0.41551882460973377</c:v>
                </c:pt>
                <c:pt idx="4">
                  <c:v>0.50849403122130399</c:v>
                </c:pt>
                <c:pt idx="5">
                  <c:v>0.58654729109274573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BA7-491A-94E2-BF3B01694637}"/>
            </c:ext>
          </c:extLst>
        </c:ser>
        <c:ser>
          <c:idx val="5"/>
          <c:order val="5"/>
          <c:tx>
            <c:v>0.05 cfs/ac</c:v>
          </c:tx>
          <c:spPr>
            <a:ln w="127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40B-4E53-9F41-40934190CAC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40B-4E53-9F41-40934190CAC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40B-4E53-9F41-40934190CA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40B-4E53-9F41-40934190CAC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40B-4E53-9F41-40934190CAC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'NOMO B-75'!$AB$22:$AB$27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99</c:v>
                </c:pt>
              </c:numCache>
            </c:numRef>
          </c:xVal>
          <c:yVal>
            <c:numRef>
              <c:f>'NOMO B-75'!$AH$22:$AH$27</c:f>
              <c:numCache>
                <c:formatCode>0.000</c:formatCode>
                <c:ptCount val="6"/>
                <c:pt idx="0">
                  <c:v>0.18021120293847565</c:v>
                </c:pt>
                <c:pt idx="1">
                  <c:v>0.27433425160697889</c:v>
                </c:pt>
                <c:pt idx="2">
                  <c:v>0.36960514233241504</c:v>
                </c:pt>
                <c:pt idx="3">
                  <c:v>0.46602387511478421</c:v>
                </c:pt>
                <c:pt idx="4">
                  <c:v>0.56244260789715339</c:v>
                </c:pt>
                <c:pt idx="5">
                  <c:v>0.64623507805325975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BA7-491A-94E2-BF3B01694637}"/>
            </c:ext>
          </c:extLst>
        </c:ser>
        <c:ser>
          <c:idx val="6"/>
          <c:order val="6"/>
          <c:tx>
            <c:v>0.00 cfs/ac</c:v>
          </c:tx>
          <c:spPr>
            <a:ln w="127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40B-4E53-9F41-40934190CAC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40B-4E53-9F41-40934190CAC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40B-4E53-9F41-40934190CA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40B-4E53-9F41-40934190CAC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40B-4E53-9F41-40934190CAC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'NOMO B-75'!$AB$22:$AB$27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99</c:v>
                </c:pt>
              </c:numCache>
            </c:numRef>
          </c:xVal>
          <c:yVal>
            <c:numRef>
              <c:f>'NOMO B-75'!$AI$22:$AI$27</c:f>
              <c:numCache>
                <c:formatCode>0.000</c:formatCode>
                <c:ptCount val="6"/>
                <c:pt idx="0">
                  <c:v>0.21808999081726355</c:v>
                </c:pt>
                <c:pt idx="1">
                  <c:v>0.31450872359963267</c:v>
                </c:pt>
                <c:pt idx="2">
                  <c:v>0.41322314049586772</c:v>
                </c:pt>
                <c:pt idx="3">
                  <c:v>0.51423324150596883</c:v>
                </c:pt>
                <c:pt idx="4">
                  <c:v>0.61409550045913686</c:v>
                </c:pt>
                <c:pt idx="5">
                  <c:v>0.70477502295684102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BA7-491A-94E2-BF3B01694637}"/>
            </c:ext>
          </c:extLst>
        </c:ser>
        <c:ser>
          <c:idx val="7"/>
          <c:order val="7"/>
          <c:tx>
            <c:v>Final Vert</c:v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('NOMO B-75'!$S$10,'NOMO B-75'!$S$10)</c:f>
              <c:numCache>
                <c:formatCode>0.00</c:formatCode>
                <c:ptCount val="2"/>
              </c:numCache>
            </c:numRef>
          </c:xVal>
          <c:yVal>
            <c:numRef>
              <c:f>('NOMO B-75'!$AE$29,'NOMO B-75'!$AD$28)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BA7-491A-94E2-BF3B01694637}"/>
            </c:ext>
          </c:extLst>
        </c:ser>
        <c:ser>
          <c:idx val="9"/>
          <c:order val="8"/>
          <c:tx>
            <c:v>Final Horz</c:v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BBA7-491A-94E2-BF3B01694637}"/>
              </c:ext>
            </c:extLst>
          </c:dPt>
          <c:dLbls>
            <c:delete val="1"/>
          </c:dLbls>
          <c:xVal>
            <c:numRef>
              <c:f>('NOMO B-75'!$AE$29,'NOMO B-75'!$S$10)</c:f>
              <c:numCache>
                <c:formatCode>0.00</c:formatCode>
                <c:ptCount val="2"/>
                <c:pt idx="0" formatCode="General">
                  <c:v>0</c:v>
                </c:pt>
              </c:numCache>
            </c:numRef>
          </c:xVal>
          <c:yVal>
            <c:numRef>
              <c:f>('NOMO B-75'!$AD$28,'NOMO B-75'!$AD$28)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BA7-491A-94E2-BF3B016946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51028352"/>
        <c:axId val="351028912"/>
        <c:extLst/>
      </c:scatterChart>
      <c:valAx>
        <c:axId val="351028352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Curve Number</a:t>
                </a:r>
              </a:p>
            </c:rich>
          </c:tx>
          <c:layout>
            <c:manualLayout>
              <c:xMode val="edge"/>
              <c:yMode val="edge"/>
              <c:x val="0.41623548494268253"/>
              <c:y val="0.91874371389991449"/>
            </c:manualLayout>
          </c:layout>
          <c:overlay val="0"/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028912"/>
        <c:crosses val="autoZero"/>
        <c:crossBetween val="midCat"/>
      </c:valAx>
      <c:valAx>
        <c:axId val="351028912"/>
        <c:scaling>
          <c:orientation val="minMax"/>
          <c:max val="0.8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Detention Volume (ac-ft/ac)</a:t>
                </a:r>
              </a:p>
            </c:rich>
          </c:tx>
          <c:layout>
            <c:manualLayout>
              <c:xMode val="edge"/>
              <c:yMode val="edge"/>
              <c:x val="4.6056678721150207E-3"/>
              <c:y val="0.24858289959567612"/>
            </c:manualLayout>
          </c:layout>
          <c:overlay val="0"/>
        </c:title>
        <c:numFmt formatCode="0.000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028352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NOMOGRAPH:</a:t>
            </a:r>
            <a:r>
              <a:rPr lang="en-US" baseline="0"/>
              <a:t> BULLETIN 70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725409091502197"/>
          <c:y val="0.10645386073773191"/>
          <c:w val="0.78196177220366081"/>
          <c:h val="0.7637282667126698"/>
        </c:manualLayout>
      </c:layout>
      <c:scatterChart>
        <c:scatterStyle val="lineMarker"/>
        <c:varyColors val="0"/>
        <c:ser>
          <c:idx val="0"/>
          <c:order val="0"/>
          <c:tx>
            <c:v>0.30 cfs/ac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74-42A7-B33E-185E4BCEEF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74-42A7-B33E-185E4BCEEF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74-42A7-B33E-185E4BCEEF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74-42A7-B33E-185E4BCEEF3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74-42A7-B33E-185E4BCEEF3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'NOMO B-70'!$AB$22:$AB$27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99</c:v>
                </c:pt>
              </c:numCache>
            </c:numRef>
          </c:xVal>
          <c:yVal>
            <c:numRef>
              <c:f>'NOMO B-70'!$AC$22:$AC$27</c:f>
              <c:numCache>
                <c:formatCode>0.000</c:formatCode>
                <c:ptCount val="6"/>
                <c:pt idx="0">
                  <c:v>9.0600000000000003E-3</c:v>
                </c:pt>
                <c:pt idx="1">
                  <c:v>5.9340000000000004E-2</c:v>
                </c:pt>
                <c:pt idx="2">
                  <c:v>0.11726</c:v>
                </c:pt>
                <c:pt idx="3">
                  <c:v>0.18153999999999998</c:v>
                </c:pt>
                <c:pt idx="4">
                  <c:v>0.2447</c:v>
                </c:pt>
                <c:pt idx="5">
                  <c:v>0.29178000000000004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A7-491A-94E2-BF3B01694637}"/>
            </c:ext>
          </c:extLst>
        </c:ser>
        <c:ser>
          <c:idx val="1"/>
          <c:order val="1"/>
          <c:tx>
            <c:v>0.25 cfs/ac</c:v>
          </c:tx>
          <c:spPr>
            <a:ln w="127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74-42A7-B33E-185E4BCEEF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74-42A7-B33E-185E4BCEEF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74-42A7-B33E-185E4BCEEF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74-42A7-B33E-185E4BCEEF3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74-42A7-B33E-185E4BCEEF3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'NOMO B-70'!$AB$22:$AB$27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99</c:v>
                </c:pt>
              </c:numCache>
            </c:numRef>
          </c:xVal>
          <c:yVal>
            <c:numRef>
              <c:f>'NOMO B-70'!$AD$22:$AD$27</c:f>
              <c:numCache>
                <c:formatCode>0.000</c:formatCode>
                <c:ptCount val="6"/>
                <c:pt idx="0">
                  <c:v>2.3980000000000001E-2</c:v>
                </c:pt>
                <c:pt idx="1">
                  <c:v>7.9320000000000002E-2</c:v>
                </c:pt>
                <c:pt idx="2">
                  <c:v>0.14348</c:v>
                </c:pt>
                <c:pt idx="3">
                  <c:v>0.21078000000000002</c:v>
                </c:pt>
                <c:pt idx="4">
                  <c:v>0.27871999999999997</c:v>
                </c:pt>
                <c:pt idx="5">
                  <c:v>0.33282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A7-491A-94E2-BF3B01694637}"/>
            </c:ext>
          </c:extLst>
        </c:ser>
        <c:ser>
          <c:idx val="2"/>
          <c:order val="2"/>
          <c:tx>
            <c:v>0.20 cfs/ac</c:v>
          </c:tx>
          <c:spPr>
            <a:ln w="127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74-42A7-B33E-185E4BCEEF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74-42A7-B33E-185E4BCEEF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874-42A7-B33E-185E4BCEEF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874-42A7-B33E-185E4BCEEF3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874-42A7-B33E-185E4BCEEF3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'NOMO B-70'!$AB$22:$AB$27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99</c:v>
                </c:pt>
              </c:numCache>
            </c:numRef>
          </c:xVal>
          <c:yVal>
            <c:numRef>
              <c:f>'NOMO B-70'!$AE$22:$AE$27</c:f>
              <c:numCache>
                <c:formatCode>0.000</c:formatCode>
                <c:ptCount val="6"/>
                <c:pt idx="0">
                  <c:v>4.206E-2</c:v>
                </c:pt>
                <c:pt idx="1">
                  <c:v>0.10267999999999999</c:v>
                </c:pt>
                <c:pt idx="2">
                  <c:v>0.16974</c:v>
                </c:pt>
                <c:pt idx="3">
                  <c:v>0.2427</c:v>
                </c:pt>
                <c:pt idx="4">
                  <c:v>0.31694</c:v>
                </c:pt>
                <c:pt idx="5">
                  <c:v>0.37846000000000002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BA7-491A-94E2-BF3B01694637}"/>
            </c:ext>
          </c:extLst>
        </c:ser>
        <c:ser>
          <c:idx val="3"/>
          <c:order val="3"/>
          <c:tx>
            <c:v>0.15 cfs/ac</c:v>
          </c:tx>
          <c:spPr>
            <a:ln w="127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874-42A7-B33E-185E4BCEEF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874-42A7-B33E-185E4BCEEF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874-42A7-B33E-185E4BCEEF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874-42A7-B33E-185E4BCEEF3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874-42A7-B33E-185E4BCEEF3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'NOMO B-70'!$AB$22:$AB$27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99</c:v>
                </c:pt>
              </c:numCache>
            </c:numRef>
          </c:xVal>
          <c:yVal>
            <c:numRef>
              <c:f>'NOMO B-70'!$AF$22:$AF$27</c:f>
              <c:numCache>
                <c:formatCode>0.000</c:formatCode>
                <c:ptCount val="6"/>
                <c:pt idx="0">
                  <c:v>6.2439999999999996E-2</c:v>
                </c:pt>
                <c:pt idx="1">
                  <c:v>0.12714</c:v>
                </c:pt>
                <c:pt idx="2">
                  <c:v>0.20316000000000001</c:v>
                </c:pt>
                <c:pt idx="3">
                  <c:v>0.28461999999999998</c:v>
                </c:pt>
                <c:pt idx="4">
                  <c:v>0.36636000000000002</c:v>
                </c:pt>
                <c:pt idx="5">
                  <c:v>0.43575999999999998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BA7-491A-94E2-BF3B01694637}"/>
            </c:ext>
          </c:extLst>
        </c:ser>
        <c:ser>
          <c:idx val="4"/>
          <c:order val="4"/>
          <c:tx>
            <c:v>0.10 cfs/ac</c:v>
          </c:tx>
          <c:spPr>
            <a:ln w="127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874-42A7-B33E-185E4BCEEF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874-42A7-B33E-185E4BCEEF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874-42A7-B33E-185E4BCEEF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874-42A7-B33E-185E4BCEEF3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874-42A7-B33E-185E4BCEEF3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'NOMO B-70'!$AB$22:$AB$27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99</c:v>
                </c:pt>
              </c:numCache>
            </c:numRef>
          </c:xVal>
          <c:yVal>
            <c:numRef>
              <c:f>'NOMO B-70'!$AG$22:$AG$27</c:f>
              <c:numCache>
                <c:formatCode>0.000</c:formatCode>
                <c:ptCount val="6"/>
                <c:pt idx="0">
                  <c:v>8.7400000000000005E-2</c:v>
                </c:pt>
                <c:pt idx="1">
                  <c:v>0.16636000000000001</c:v>
                </c:pt>
                <c:pt idx="2">
                  <c:v>0.25065999999999999</c:v>
                </c:pt>
                <c:pt idx="3">
                  <c:v>0.33723999999999998</c:v>
                </c:pt>
                <c:pt idx="4">
                  <c:v>0.42447999999999997</c:v>
                </c:pt>
                <c:pt idx="5">
                  <c:v>0.50035999999999992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BA7-491A-94E2-BF3B01694637}"/>
            </c:ext>
          </c:extLst>
        </c:ser>
        <c:ser>
          <c:idx val="5"/>
          <c:order val="5"/>
          <c:tx>
            <c:v>0.05 cfs/ac</c:v>
          </c:tx>
          <c:spPr>
            <a:ln w="127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874-42A7-B33E-185E4BCEEF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874-42A7-B33E-185E4BCEEF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874-42A7-B33E-185E4BCEEF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874-42A7-B33E-185E4BCEEF3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874-42A7-B33E-185E4BCEEF3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'NOMO B-70'!$AB$22:$AB$27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99</c:v>
                </c:pt>
              </c:numCache>
            </c:numRef>
          </c:xVal>
          <c:yVal>
            <c:numRef>
              <c:f>'NOMO B-70'!$AH$22:$AH$27</c:f>
              <c:numCache>
                <c:formatCode>0.000</c:formatCode>
                <c:ptCount val="6"/>
                <c:pt idx="0">
                  <c:v>0.12878000000000001</c:v>
                </c:pt>
                <c:pt idx="1">
                  <c:v>0.21085999999999999</c:v>
                </c:pt>
                <c:pt idx="2">
                  <c:v>0.29752000000000001</c:v>
                </c:pt>
                <c:pt idx="3">
                  <c:v>0.38706000000000002</c:v>
                </c:pt>
                <c:pt idx="4">
                  <c:v>0.47892000000000001</c:v>
                </c:pt>
                <c:pt idx="5">
                  <c:v>0.56130000000000002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BA7-491A-94E2-BF3B01694637}"/>
            </c:ext>
          </c:extLst>
        </c:ser>
        <c:ser>
          <c:idx val="6"/>
          <c:order val="6"/>
          <c:tx>
            <c:v>0.00 cfs/ac</c:v>
          </c:tx>
          <c:spPr>
            <a:ln w="127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874-42A7-B33E-185E4BCEEF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874-42A7-B33E-185E4BCEEF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874-42A7-B33E-185E4BCEEF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874-42A7-B33E-185E4BCEEF3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874-42A7-B33E-185E4BCEEF3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'NOMO B-70'!$AB$22:$AB$27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99</c:v>
                </c:pt>
              </c:numCache>
            </c:numRef>
          </c:xVal>
          <c:yVal>
            <c:numRef>
              <c:f>'NOMO B-70'!$AI$22:$AI$27</c:f>
              <c:numCache>
                <c:formatCode>0.000</c:formatCode>
                <c:ptCount val="6"/>
                <c:pt idx="0">
                  <c:v>0.16655999999999999</c:v>
                </c:pt>
                <c:pt idx="1">
                  <c:v>0.25184000000000001</c:v>
                </c:pt>
                <c:pt idx="2">
                  <c:v>0.34214</c:v>
                </c:pt>
                <c:pt idx="3">
                  <c:v>0.43604000000000004</c:v>
                </c:pt>
                <c:pt idx="4">
                  <c:v>0.53269999999999995</c:v>
                </c:pt>
                <c:pt idx="5">
                  <c:v>0.62168000000000001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BA7-491A-94E2-BF3B01694637}"/>
            </c:ext>
          </c:extLst>
        </c:ser>
        <c:ser>
          <c:idx val="7"/>
          <c:order val="7"/>
          <c:tx>
            <c:v>Final Vert</c:v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('NOMO B-70'!$S$10,'NOMO B-70'!$S$10)</c:f>
              <c:numCache>
                <c:formatCode>0.00</c:formatCode>
                <c:ptCount val="2"/>
              </c:numCache>
            </c:numRef>
          </c:xVal>
          <c:yVal>
            <c:numRef>
              <c:f>('NOMO B-70'!$AE$29,'NOMO B-70'!$AD$28)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BA7-491A-94E2-BF3B01694637}"/>
            </c:ext>
          </c:extLst>
        </c:ser>
        <c:ser>
          <c:idx val="9"/>
          <c:order val="8"/>
          <c:tx>
            <c:v>Final Horz</c:v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BBA7-491A-94E2-BF3B01694637}"/>
              </c:ext>
            </c:extLst>
          </c:dPt>
          <c:dLbls>
            <c:delete val="1"/>
          </c:dLbls>
          <c:xVal>
            <c:numRef>
              <c:f>('NOMO B-70'!$AE$29,'NOMO B-70'!$S$10)</c:f>
              <c:numCache>
                <c:formatCode>0.00</c:formatCode>
                <c:ptCount val="2"/>
                <c:pt idx="0" formatCode="General">
                  <c:v>0</c:v>
                </c:pt>
              </c:numCache>
            </c:numRef>
          </c:xVal>
          <c:yVal>
            <c:numRef>
              <c:f>('NOMO B-70'!$AD$28,'NOMO B-70'!$AD$28)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BA7-491A-94E2-BF3B016946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50759920"/>
        <c:axId val="350760480"/>
        <c:extLst/>
      </c:scatterChart>
      <c:valAx>
        <c:axId val="350759920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Curve Number</a:t>
                </a:r>
              </a:p>
            </c:rich>
          </c:tx>
          <c:layout>
            <c:manualLayout>
              <c:xMode val="edge"/>
              <c:yMode val="edge"/>
              <c:x val="0.41623548494268253"/>
              <c:y val="0.91874371389991449"/>
            </c:manualLayout>
          </c:layout>
          <c:overlay val="0"/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760480"/>
        <c:crosses val="autoZero"/>
        <c:crossBetween val="midCat"/>
      </c:valAx>
      <c:valAx>
        <c:axId val="350760480"/>
        <c:scaling>
          <c:orientation val="minMax"/>
          <c:max val="0.8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Detention Volume (ac-ft/ac)</a:t>
                </a:r>
              </a:p>
            </c:rich>
          </c:tx>
          <c:layout>
            <c:manualLayout>
              <c:xMode val="edge"/>
              <c:yMode val="edge"/>
              <c:x val="4.6056678721150207E-3"/>
              <c:y val="0.24858289959567612"/>
            </c:manualLayout>
          </c:layout>
          <c:overlay val="0"/>
        </c:title>
        <c:numFmt formatCode="0.000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759920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114300</xdr:colOff>
      <xdr:row>17</xdr:row>
      <xdr:rowOff>236308</xdr:rowOff>
    </xdr:from>
    <xdr:ext cx="1004699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1581150" y="3379558"/>
              <a:ext cx="1004699" cy="2671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T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t</m:t>
                        </m:r>
                      </m:sub>
                    </m:sSub>
                    <m:r>
                      <a:rPr lang="en-US" sz="8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0.007</m:t>
                        </m:r>
                        <m:sSup>
                          <m:sSupPr>
                            <m:ctrlPr>
                              <a:rPr lang="en-US" sz="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n-US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m:rPr>
                                    <m:sty m:val="p"/>
                                  </m:rPr>
                                  <a:rPr lang="en-US" sz="8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nL</m:t>
                                </m:r>
                              </m:e>
                            </m:d>
                          </m:e>
                          <m:sup>
                            <m:r>
                              <a:rPr lang="en-US" sz="8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0.8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en-US" sz="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n-US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n-US" sz="8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m:rPr>
                                        <m:sty m:val="p"/>
                                      </m:rPr>
                                      <a:rPr lang="en-US" sz="80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P</m:t>
                                    </m:r>
                                  </m:e>
                                  <m:sub>
                                    <m:r>
                                      <a:rPr lang="en-US" sz="80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b>
                                </m:sSub>
                              </m:e>
                            </m:d>
                          </m:e>
                          <m:sup>
                            <m:r>
                              <a:rPr lang="en-US" sz="8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0.5</m:t>
                            </m:r>
                          </m:sup>
                        </m:sSup>
                        <m:sSup>
                          <m:sSupPr>
                            <m:ctrlPr>
                              <a:rPr lang="en-US" sz="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m:rPr>
                                <m:sty m:val="p"/>
                              </m:rPr>
                              <a:rPr lang="en-US" sz="8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s</m:t>
                            </m:r>
                          </m:e>
                          <m:sup>
                            <m:r>
                              <a:rPr lang="en-US" sz="8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0.4</m:t>
                            </m:r>
                          </m:sup>
                        </m:sSup>
                      </m:den>
                    </m:f>
                    <m:d>
                      <m:dPr>
                        <m:ctrlPr>
                          <a:rPr lang="en-US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US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60</m:t>
                        </m:r>
                      </m:e>
                    </m:d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1581150" y="3379558"/>
              <a:ext cx="1004699" cy="2671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spAutoFit/>
            </a:bodyPr>
            <a:lstStyle/>
            <a:p>
              <a:pPr/>
              <a:r>
                <a:rPr lang="en-US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T_t=(0.007(nL)^0.8)/((P_2 )^0.5 s^0.4 ) (</a:t>
              </a:r>
              <a:r>
                <a:rPr lang="en-US" sz="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60)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9</xdr:col>
      <xdr:colOff>118855</xdr:colOff>
      <xdr:row>27</xdr:row>
      <xdr:rowOff>10689</xdr:rowOff>
    </xdr:from>
    <xdr:ext cx="564155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2176255" y="5312032"/>
              <a:ext cx="564155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T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t</m:t>
                        </m:r>
                      </m:sub>
                    </m:sSub>
                    <m:r>
                      <a:rPr lang="en-US" sz="8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L</m:t>
                        </m:r>
                      </m:num>
                      <m:den>
                        <m: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60</m:t>
                        </m:r>
                        <m:r>
                          <m:rPr>
                            <m:sty m:val="p"/>
                          </m:rP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den>
                    </m:f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2176255" y="5312032"/>
              <a:ext cx="564155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spAutoFit/>
            </a:bodyPr>
            <a:lstStyle/>
            <a:p>
              <a:pPr/>
              <a:r>
                <a:rPr lang="en-US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T_t=L/60V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8</xdr:col>
      <xdr:colOff>194353</xdr:colOff>
      <xdr:row>38</xdr:row>
      <xdr:rowOff>10879</xdr:rowOff>
    </xdr:from>
    <xdr:ext cx="719107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2023153" y="7717965"/>
              <a:ext cx="719107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n-US" sz="8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V</m:t>
                    </m:r>
                    <m:r>
                      <a:rPr lang="en-US" sz="8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1.486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n</m:t>
                        </m:r>
                      </m:den>
                    </m:f>
                    <m:sSup>
                      <m:sSupPr>
                        <m:ctrlPr>
                          <a:rPr lang="en-US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R</m:t>
                        </m:r>
                      </m:e>
                      <m:sup>
                        <m:box>
                          <m:boxPr>
                            <m:ctrlPr>
                              <a:rPr lang="en-US" sz="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boxPr>
                          <m:e>
                            <m:argPr>
                              <m:argSz m:val="-1"/>
                            </m:argPr>
                            <m:f>
                              <m:fPr>
                                <m:ctrlPr>
                                  <a:rPr lang="en-US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US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2</m:t>
                                </m:r>
                              </m:num>
                              <m:den>
                                <m:r>
                                  <a:rPr lang="en-US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3</m:t>
                                </m:r>
                              </m:den>
                            </m:f>
                          </m:e>
                        </m:box>
                      </m:sup>
                    </m:sSup>
                    <m:r>
                      <a:rPr lang="en-US" sz="8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sSup>
                      <m:sSupPr>
                        <m:ctrlPr>
                          <a:rPr lang="en-US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S</m:t>
                        </m:r>
                      </m:e>
                      <m:sup>
                        <m:f>
                          <m:fPr>
                            <m:ctrlPr>
                              <a:rPr lang="en-US" sz="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8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1</m:t>
                            </m:r>
                          </m:num>
                          <m:den>
                            <m:r>
                              <a:rPr lang="en-US" sz="8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lang="en-US" sz="10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000-00000200000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2023153" y="7717965"/>
              <a:ext cx="719107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spAutoFit/>
            </a:bodyPr>
            <a:lstStyle/>
            <a:p>
              <a:pPr/>
              <a:r>
                <a:rPr lang="en-US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V=1.486/n R^□(64&amp;</a:t>
              </a:r>
              <a:r>
                <a:rPr lang="en-US" sz="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2/3) </a:t>
              </a:r>
              <a:r>
                <a:rPr lang="en-US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S^(1/2)</a:t>
              </a:r>
              <a:endParaRPr lang="en-US" sz="10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8</xdr:col>
      <xdr:colOff>56325</xdr:colOff>
      <xdr:row>39</xdr:row>
      <xdr:rowOff>20354</xdr:rowOff>
    </xdr:from>
    <xdr:ext cx="782539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1885125" y="7977811"/>
              <a:ext cx="782539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T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t</m:t>
                        </m:r>
                      </m:sub>
                    </m:sSub>
                    <m:r>
                      <a:rPr lang="en-US" sz="8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L</m:t>
                        </m:r>
                      </m:num>
                      <m:den>
                        <m: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60</m:t>
                        </m:r>
                        <m:r>
                          <m:rPr>
                            <m:sty m:val="p"/>
                          </m:rP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den>
                    </m:f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1885125" y="7977811"/>
              <a:ext cx="782539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spAutoFit/>
            </a:bodyPr>
            <a:lstStyle/>
            <a:p>
              <a:pPr/>
              <a:r>
                <a:rPr lang="en-US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T_t=L/60V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14</xdr:col>
      <xdr:colOff>71318</xdr:colOff>
      <xdr:row>43</xdr:row>
      <xdr:rowOff>7326</xdr:rowOff>
    </xdr:from>
    <xdr:ext cx="855875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251203" y="8587153"/>
              <a:ext cx="855875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en-US" sz="1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𝑇</m:t>
                        </m:r>
                      </m:e>
                      <m:sub>
                        <m:r>
                          <a:rPr lang="en-US" sz="1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𝑐</m:t>
                        </m:r>
                      </m:sub>
                    </m:sSub>
                    <m:r>
                      <a:rPr lang="en-US" sz="10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, </m:t>
                    </m:r>
                    <m:sSub>
                      <m:sSubPr>
                        <m:ctrlPr>
                          <a:rPr lang="en-US" sz="1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en-US" sz="1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𝑇</m:t>
                        </m:r>
                      </m:e>
                      <m:sub>
                        <m:r>
                          <a:rPr lang="en-US" sz="1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𝑡</m:t>
                        </m:r>
                      </m:sub>
                    </m:sSub>
                    <m:r>
                      <a:rPr lang="en-US" sz="10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=</m:t>
                    </m:r>
                    <m:nary>
                      <m:naryPr>
                        <m:chr m:val="∑"/>
                        <m:subHide m:val="on"/>
                        <m:supHide m:val="on"/>
                        <m:ctrlPr>
                          <a:rPr lang="en-US" sz="10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naryPr>
                      <m:sub/>
                      <m:sup/>
                      <m:e>
                        <m:sSub>
                          <m:sSubPr>
                            <m:ctrlPr>
                              <a:rPr lang="en-US" sz="10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𝑇</m:t>
                            </m:r>
                          </m:e>
                          <m:sub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𝑡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n-US" sz="9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000-00000700000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251203" y="8587153"/>
              <a:ext cx="855875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/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𝑇_𝑐, 𝑇_𝑡</a:t>
              </a:r>
              <a:r>
                <a:rPr lang="en-US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=∑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▒𝑇_𝑡 </a:t>
              </a:r>
              <a:endParaRPr lang="en-US" sz="9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457200</xdr:colOff>
          <xdr:row>8</xdr:row>
          <xdr:rowOff>161925</xdr:rowOff>
        </xdr:from>
        <xdr:to>
          <xdr:col>56</xdr:col>
          <xdr:colOff>47625</xdr:colOff>
          <xdr:row>38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194353</xdr:colOff>
      <xdr:row>23</xdr:row>
      <xdr:rowOff>10879</xdr:rowOff>
    </xdr:from>
    <xdr:ext cx="719107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2023153" y="7649929"/>
              <a:ext cx="719107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n-US" sz="8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V</m:t>
                    </m:r>
                    <m:r>
                      <a:rPr lang="en-US" sz="8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1.486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n</m:t>
                        </m:r>
                      </m:den>
                    </m:f>
                    <m:sSup>
                      <m:sSupPr>
                        <m:ctrlPr>
                          <a:rPr lang="en-US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R</m:t>
                        </m:r>
                      </m:e>
                      <m:sup>
                        <m:box>
                          <m:boxPr>
                            <m:ctrlPr>
                              <a:rPr lang="en-US" sz="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boxPr>
                          <m:e>
                            <m:argPr>
                              <m:argSz m:val="-1"/>
                            </m:argPr>
                            <m:f>
                              <m:fPr>
                                <m:ctrlPr>
                                  <a:rPr lang="en-US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US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2</m:t>
                                </m:r>
                              </m:num>
                              <m:den>
                                <m:r>
                                  <a:rPr lang="en-US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3</m:t>
                                </m:r>
                              </m:den>
                            </m:f>
                          </m:e>
                        </m:box>
                      </m:sup>
                    </m:sSup>
                    <m:r>
                      <a:rPr lang="en-US" sz="8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sSup>
                      <m:sSupPr>
                        <m:ctrlPr>
                          <a:rPr lang="en-US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S</m:t>
                        </m:r>
                      </m:e>
                      <m:sup>
                        <m:f>
                          <m:fPr>
                            <m:ctrlPr>
                              <a:rPr lang="en-US" sz="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8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1</m:t>
                            </m:r>
                          </m:num>
                          <m:den>
                            <m:r>
                              <a:rPr lang="en-US" sz="8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lang="en-US" sz="10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000-00000200000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2023153" y="7649929"/>
              <a:ext cx="719107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spAutoFit/>
            </a:bodyPr>
            <a:lstStyle/>
            <a:p>
              <a:pPr/>
              <a:r>
                <a:rPr lang="en-US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V=1.486/n R^□(64&amp;</a:t>
              </a:r>
              <a:r>
                <a:rPr lang="en-US" sz="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2/3) </a:t>
              </a:r>
              <a:r>
                <a:rPr lang="en-US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S^(1/2)</a:t>
              </a:r>
              <a:endParaRPr lang="en-US" sz="10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8</xdr:col>
      <xdr:colOff>56325</xdr:colOff>
      <xdr:row>24</xdr:row>
      <xdr:rowOff>20354</xdr:rowOff>
    </xdr:from>
    <xdr:ext cx="782539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1885125" y="7907054"/>
              <a:ext cx="782539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T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t</m:t>
                        </m:r>
                      </m:sub>
                    </m:sSub>
                    <m:r>
                      <a:rPr lang="en-US" sz="8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L</m:t>
                        </m:r>
                      </m:num>
                      <m:den>
                        <m: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3600</m:t>
                        </m:r>
                        <m:r>
                          <m:rPr>
                            <m:sty m:val="p"/>
                          </m:rPr>
                          <a:rPr lang="en-US" sz="8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den>
                    </m:f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000-000006000000}"/>
                </a:ext>
              </a:extLst>
            </xdr:cNvPr>
            <xdr:cNvSpPr txBox="1"/>
          </xdr:nvSpPr>
          <xdr:spPr>
            <a:xfrm>
              <a:off x="1885125" y="7907054"/>
              <a:ext cx="782539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 anchorCtr="0">
              <a:spAutoFit/>
            </a:bodyPr>
            <a:lstStyle/>
            <a:p>
              <a:pPr/>
              <a:r>
                <a:rPr lang="en-US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T_t=L/3600V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8</xdr:col>
      <xdr:colOff>182681</xdr:colOff>
      <xdr:row>28</xdr:row>
      <xdr:rowOff>47380</xdr:rowOff>
    </xdr:from>
    <xdr:ext cx="855875" cy="3844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1859081" y="5527430"/>
              <a:ext cx="855875" cy="3844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en-US" sz="1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𝑇</m:t>
                        </m:r>
                      </m:e>
                      <m:sub>
                        <m:r>
                          <a:rPr lang="en-US" sz="1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𝑐</m:t>
                        </m:r>
                      </m:sub>
                    </m:sSub>
                    <m:r>
                      <a:rPr lang="en-US" sz="10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=</m:t>
                    </m:r>
                    <m:nary>
                      <m:naryPr>
                        <m:chr m:val="∑"/>
                        <m:subHide m:val="on"/>
                        <m:supHide m:val="on"/>
                        <m:ctrlPr>
                          <a:rPr lang="en-US" sz="10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naryPr>
                      <m:sub/>
                      <m:sup/>
                      <m:e>
                        <m:sSub>
                          <m:sSubPr>
                            <m:ctrlPr>
                              <a:rPr lang="en-US" sz="10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𝑇</m:t>
                            </m:r>
                          </m:e>
                          <m:sub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𝑡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n-US" sz="9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000-00000700000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1859081" y="5527430"/>
              <a:ext cx="855875" cy="3844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/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𝑇_𝑐</a:t>
              </a:r>
              <a:r>
                <a:rPr lang="en-US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=∑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▒𝑇_𝑡 </a:t>
              </a:r>
              <a:endParaRPr lang="en-US" sz="9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17</xdr:row>
          <xdr:rowOff>47625</xdr:rowOff>
        </xdr:from>
        <xdr:to>
          <xdr:col>55</xdr:col>
          <xdr:colOff>95250</xdr:colOff>
          <xdr:row>23</xdr:row>
          <xdr:rowOff>57150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66675</xdr:colOff>
          <xdr:row>18</xdr:row>
          <xdr:rowOff>209550</xdr:rowOff>
        </xdr:from>
        <xdr:to>
          <xdr:col>56</xdr:col>
          <xdr:colOff>133350</xdr:colOff>
          <xdr:row>38</xdr:row>
          <xdr:rowOff>47625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24237</xdr:colOff>
      <xdr:row>16</xdr:row>
      <xdr:rowOff>5443</xdr:rowOff>
    </xdr:from>
    <xdr:ext cx="845103" cy="3973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7148937" y="3053443"/>
              <a:ext cx="845103" cy="3973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𝑆</m:t>
                    </m:r>
                    <m:r>
                      <a:rPr lang="en-US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1000</m:t>
                        </m:r>
                      </m:num>
                      <m:den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𝐶𝑁</m:t>
                        </m:r>
                      </m:den>
                    </m:f>
                    <m:r>
                      <a:rPr lang="en-US" sz="1000" b="0" i="1">
                        <a:latin typeface="Cambria Math" panose="02040503050406030204" pitchFamily="18" charset="0"/>
                      </a:rPr>
                      <m:t>−10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7148937" y="3053443"/>
              <a:ext cx="845103" cy="3973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𝑆=1000/𝐶𝑁−10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10</xdr:col>
      <xdr:colOff>152912</xdr:colOff>
      <xdr:row>17</xdr:row>
      <xdr:rowOff>5444</xdr:rowOff>
    </xdr:from>
    <xdr:ext cx="993412" cy="3973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6629912" y="3243944"/>
              <a:ext cx="993412" cy="3973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</m:sSub>
                    <m:r>
                      <a:rPr lang="en-US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n-US" sz="10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n-US" sz="10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en-US" sz="10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lang="en-US" sz="10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−0.2</m:t>
                                </m:r>
                                <m:r>
                                  <a:rPr lang="en-US" sz="10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𝑆</m:t>
                                </m:r>
                              </m:e>
                            </m:d>
                          </m:e>
                          <m:sup>
                            <m:r>
                              <a:rPr lang="en-US" sz="10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d>
                          <m:dPr>
                            <m:ctrlPr>
                              <a:rPr lang="en-US" sz="10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</m:t>
                            </m:r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+0.8</m:t>
                            </m:r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6629912" y="3243944"/>
              <a:ext cx="993412" cy="3973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𝑄_𝐷=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(𝑃−0.2𝑆)^</a:t>
              </a:r>
              <a:r>
                <a:rPr lang="en-US" sz="1000" b="0" i="0">
                  <a:latin typeface="Cambria Math" panose="02040503050406030204" pitchFamily="18" charset="0"/>
                </a:rPr>
                <a:t>2/((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𝑃+0.8𝑆)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58535</xdr:colOff>
      <xdr:row>27</xdr:row>
      <xdr:rowOff>127547</xdr:rowOff>
    </xdr:from>
    <xdr:ext cx="958852" cy="1648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SpPr txBox="1"/>
          </xdr:nvSpPr>
          <xdr:spPr>
            <a:xfrm>
              <a:off x="2154035" y="6680747"/>
              <a:ext cx="958852" cy="1648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𝐴𝐷𝐽</m:t>
                        </m:r>
                      </m:sub>
                    </m:sSub>
                    <m:r>
                      <a:rPr lang="en-US" sz="10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0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𝑅</m:t>
                        </m:r>
                      </m:sub>
                    </m:sSub>
                    <m:r>
                      <a:rPr lang="en-US" sz="10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US" sz="10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𝑉𝐶</m:t>
                        </m:r>
                      </m:e>
                      <m:sub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SpPr txBox="1"/>
          </xdr:nvSpPr>
          <xdr:spPr>
            <a:xfrm>
              <a:off x="2154035" y="6680747"/>
              <a:ext cx="958852" cy="1648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𝑉_𝐴𝐷𝐽=𝑉_𝑅−〖𝑉𝐶〗_𝑃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185057</xdr:colOff>
      <xdr:row>18</xdr:row>
      <xdr:rowOff>10887</xdr:rowOff>
    </xdr:from>
    <xdr:ext cx="988347" cy="3918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 txBox="1"/>
          </xdr:nvSpPr>
          <xdr:spPr>
            <a:xfrm>
              <a:off x="6662057" y="3439887"/>
              <a:ext cx="988347" cy="39188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ctr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𝑉</m:t>
                        </m:r>
                      </m:e>
                      <m:sub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</m:sub>
                    </m:sSub>
                    <m:r>
                      <a:rPr kumimoji="0" lang="en-US" sz="10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𝑄</m:t>
                        </m:r>
                      </m:e>
                      <m:sub>
                        <m: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</m:t>
                        </m:r>
                      </m:sub>
                    </m:sSub>
                    <m:r>
                      <a:rPr kumimoji="0" lang="en-US" sz="10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</m:t>
                    </m:r>
                    <m:d>
                      <m:dPr>
                        <m:ctrlPr>
                          <a:rPr kumimoji="0" lang="en-US" sz="10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kumimoji="0" lang="en-US" sz="10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kumimoji="0" lang="en-US" sz="10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num>
                          <m:den>
                            <m:r>
                              <a:rPr kumimoji="0" lang="en-US" sz="10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12</m:t>
                            </m:r>
                            <m:box>
                              <m:boxPr>
                                <m:ctrlPr>
                                  <a:rPr kumimoji="0" lang="en-US" sz="10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boxPr>
                              <m:e>
                                <m:argPr>
                                  <m:argSz m:val="-1"/>
                                </m:argPr>
                                <m:f>
                                  <m:fPr>
                                    <m:ctrlPr>
                                      <a:rPr kumimoji="0" lang="en-US" sz="1000" b="0" i="1" u="none" strike="noStrike" kern="0" cap="none" spc="0" normalizeH="0" baseline="0" noProof="0">
                                        <a:ln>
                                          <a:noFill/>
                                        </a:ln>
                                        <a:solidFill>
                                          <a:sysClr val="windowText" lastClr="000000"/>
                                        </a:solidFill>
                                        <a:effectLst/>
                                        <a:uLnTx/>
                                        <a:uFillTx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kumimoji="0" lang="en-US" sz="1000" b="0" i="1" u="none" strike="noStrike" kern="0" cap="none" spc="0" normalizeH="0" baseline="0" noProof="0">
                                        <a:ln>
                                          <a:noFill/>
                                        </a:ln>
                                        <a:solidFill>
                                          <a:sysClr val="windowText" lastClr="000000"/>
                                        </a:solidFill>
                                        <a:effectLst/>
                                        <a:uLnTx/>
                                        <a:uFillTx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𝑖𝑛</m:t>
                                    </m:r>
                                  </m:num>
                                  <m:den>
                                    <m:r>
                                      <a:rPr kumimoji="0" lang="en-US" sz="1000" b="0" i="1" u="none" strike="noStrike" kern="0" cap="none" spc="0" normalizeH="0" baseline="0" noProof="0">
                                        <a:ln>
                                          <a:noFill/>
                                        </a:ln>
                                        <a:solidFill>
                                          <a:sysClr val="windowText" lastClr="000000"/>
                                        </a:solidFill>
                                        <a:effectLst/>
                                        <a:uLnTx/>
                                        <a:uFillTx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𝑓𝑡</m:t>
                                    </m:r>
                                  </m:den>
                                </m:f>
                              </m:e>
                            </m:box>
                          </m:den>
                        </m:f>
                      </m:e>
                    </m:d>
                  </m:oMath>
                </m:oMathPara>
              </a14:m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6662057" y="3439887"/>
              <a:ext cx="988347" cy="39188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ctr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𝑉_𝑅=𝑄_𝐷 𝐴(1/(12□(64&amp;𝑖𝑛/𝑓𝑡)))</a:t>
              </a:r>
              <a:endParaRPr kumimoji="0" 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19</xdr:row>
          <xdr:rowOff>38100</xdr:rowOff>
        </xdr:from>
        <xdr:to>
          <xdr:col>56</xdr:col>
          <xdr:colOff>47625</xdr:colOff>
          <xdr:row>39</xdr:row>
          <xdr:rowOff>123825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104775</xdr:colOff>
          <xdr:row>5</xdr:row>
          <xdr:rowOff>47625</xdr:rowOff>
        </xdr:from>
        <xdr:to>
          <xdr:col>56</xdr:col>
          <xdr:colOff>171450</xdr:colOff>
          <xdr:row>17</xdr:row>
          <xdr:rowOff>85725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13138</xdr:rowOff>
    </xdr:from>
    <xdr:to>
      <xdr:col>25</xdr:col>
      <xdr:colOff>190500</xdr:colOff>
      <xdr:row>48</xdr:row>
      <xdr:rowOff>59121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13138</xdr:rowOff>
    </xdr:from>
    <xdr:to>
      <xdr:col>25</xdr:col>
      <xdr:colOff>190500</xdr:colOff>
      <xdr:row>48</xdr:row>
      <xdr:rowOff>59121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139698</xdr:colOff>
      <xdr:row>14</xdr:row>
      <xdr:rowOff>81290</xdr:rowOff>
    </xdr:from>
    <xdr:ext cx="845103" cy="2891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C00-000002000000}"/>
                </a:ext>
              </a:extLst>
            </xdr:cNvPr>
            <xdr:cNvSpPr txBox="1"/>
          </xdr:nvSpPr>
          <xdr:spPr>
            <a:xfrm>
              <a:off x="2654298" y="3338840"/>
              <a:ext cx="845103" cy="2891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𝑆</m:t>
                    </m:r>
                    <m:r>
                      <a:rPr lang="en-US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1000</m:t>
                        </m:r>
                      </m:num>
                      <m:den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𝐶𝑁</m:t>
                        </m:r>
                      </m:den>
                    </m:f>
                    <m:r>
                      <a:rPr lang="en-US" sz="1000" b="0" i="1">
                        <a:latin typeface="Cambria Math" panose="02040503050406030204" pitchFamily="18" charset="0"/>
                      </a:rPr>
                      <m:t>−10</m:t>
                    </m:r>
                  </m:oMath>
                </m:oMathPara>
              </a14:m>
              <a:endParaRPr lang="en-US" sz="9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654298" y="3338840"/>
              <a:ext cx="845103" cy="2891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𝑆=1000/𝐶𝑁−10</a:t>
              </a:r>
              <a:endParaRPr lang="en-US" sz="900"/>
            </a:p>
          </xdr:txBody>
        </xdr:sp>
      </mc:Fallback>
    </mc:AlternateContent>
    <xdr:clientData/>
  </xdr:oneCellAnchor>
  <xdr:oneCellAnchor>
    <xdr:from>
      <xdr:col>11</xdr:col>
      <xdr:colOff>33699</xdr:colOff>
      <xdr:row>15</xdr:row>
      <xdr:rowOff>65690</xdr:rowOff>
    </xdr:from>
    <xdr:ext cx="993412" cy="3306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C00-000003000000}"/>
                </a:ext>
              </a:extLst>
            </xdr:cNvPr>
            <xdr:cNvSpPr txBox="1"/>
          </xdr:nvSpPr>
          <xdr:spPr>
            <a:xfrm>
              <a:off x="2548299" y="3780440"/>
              <a:ext cx="993412" cy="3306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</m:sSub>
                    <m:r>
                      <a:rPr lang="en-US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n-US" sz="10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n-US" sz="10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en-US" sz="10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  <m:r>
                                  <a:rPr lang="en-US" sz="10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−0.2</m:t>
                                </m:r>
                                <m:r>
                                  <a:rPr lang="en-US" sz="10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𝑆</m:t>
                                </m:r>
                              </m:e>
                            </m:d>
                          </m:e>
                          <m:sup>
                            <m:r>
                              <a:rPr lang="en-US" sz="10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d>
                          <m:dPr>
                            <m:ctrlPr>
                              <a:rPr lang="en-US" sz="10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</m:t>
                            </m:r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+0.8</m:t>
                            </m:r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2548299" y="3780440"/>
              <a:ext cx="993412" cy="3306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𝑄_𝐷=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(𝑃−0.2𝑆)^</a:t>
              </a:r>
              <a:r>
                <a:rPr lang="en-US" sz="1000" b="0" i="0">
                  <a:latin typeface="Cambria Math" panose="02040503050406030204" pitchFamily="18" charset="0"/>
                </a:rPr>
                <a:t>2/((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𝑃+0.8𝑆)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11</xdr:col>
      <xdr:colOff>39414</xdr:colOff>
      <xdr:row>19</xdr:row>
      <xdr:rowOff>26276</xdr:rowOff>
    </xdr:from>
    <xdr:ext cx="988347" cy="4133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C00-000004000000}"/>
                </a:ext>
              </a:extLst>
            </xdr:cNvPr>
            <xdr:cNvSpPr txBox="1"/>
          </xdr:nvSpPr>
          <xdr:spPr>
            <a:xfrm>
              <a:off x="2554014" y="4598276"/>
              <a:ext cx="988347" cy="4133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𝑅</m:t>
                        </m:r>
                      </m:sub>
                    </m:sSub>
                    <m:r>
                      <a:rPr lang="en-US" sz="10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0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en-US" sz="10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</m:sSub>
                    <m:r>
                      <a:rPr lang="en-US" sz="1000" b="0" i="1">
                        <a:latin typeface="Cambria Math" panose="02040503050406030204" pitchFamily="18" charset="0"/>
                      </a:rPr>
                      <m:t>𝐴</m:t>
                    </m:r>
                    <m:d>
                      <m:dPr>
                        <m:ctrlPr>
                          <a:rPr lang="en-US" sz="10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0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en-US" sz="1000" b="0" i="1">
                                <a:latin typeface="Cambria Math" panose="02040503050406030204" pitchFamily="18" charset="0"/>
                              </a:rPr>
                              <m:t>12</m:t>
                            </m:r>
                            <m:box>
                              <m:boxPr>
                                <m:ctrlPr>
                                  <a:rPr lang="en-US" sz="1000" b="0" i="1">
                                    <a:latin typeface="Cambria Math" panose="02040503050406030204" pitchFamily="18" charset="0"/>
                                  </a:rPr>
                                </m:ctrlPr>
                              </m:boxPr>
                              <m:e>
                                <m:argPr>
                                  <m:argSz m:val="-1"/>
                                </m:argPr>
                                <m:f>
                                  <m:fPr>
                                    <m:ctrlPr>
                                      <a:rPr lang="en-US" sz="10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US" sz="1000" b="0" i="1">
                                        <a:latin typeface="Cambria Math" panose="02040503050406030204" pitchFamily="18" charset="0"/>
                                      </a:rPr>
                                      <m:t>𝑖𝑛</m:t>
                                    </m:r>
                                  </m:num>
                                  <m:den>
                                    <m:r>
                                      <a:rPr lang="en-US" sz="1000" b="0" i="1">
                                        <a:latin typeface="Cambria Math" panose="02040503050406030204" pitchFamily="18" charset="0"/>
                                      </a:rPr>
                                      <m:t>𝑓𝑡</m:t>
                                    </m:r>
                                  </m:den>
                                </m:f>
                              </m:e>
                            </m:box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2554014" y="4598276"/>
              <a:ext cx="988347" cy="4133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𝑉_𝑅=𝑄_𝐷 𝐴(1/(12□(64&amp;𝑖𝑛/𝑓𝑡)))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1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2.docx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3.docx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5.emf"/><Relationship Id="rId4" Type="http://schemas.openxmlformats.org/officeDocument/2006/relationships/package" Target="../embeddings/Microsoft_Word_Document4.docx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4"/>
  <sheetViews>
    <sheetView showGridLines="0" tabSelected="1" zoomScaleNormal="100" zoomScaleSheetLayoutView="160" zoomScalePageLayoutView="145" workbookViewId="0">
      <selection activeCell="D3" sqref="D3:P3"/>
    </sheetView>
  </sheetViews>
  <sheetFormatPr defaultColWidth="3.140625" defaultRowHeight="36" customHeight="1" x14ac:dyDescent="0.25"/>
  <cols>
    <col min="1" max="27" width="3.140625" style="2"/>
    <col min="28" max="28" width="16.5703125" style="2" hidden="1" customWidth="1"/>
    <col min="29" max="29" width="9.42578125" style="2" bestFit="1" customWidth="1"/>
    <col min="30" max="31" width="3.140625" style="2"/>
    <col min="32" max="32" width="4" style="2" bestFit="1" customWidth="1"/>
    <col min="33" max="16384" width="3.140625" style="2"/>
  </cols>
  <sheetData>
    <row r="1" spans="1:39" ht="18" customHeight="1" thickBot="1" x14ac:dyDescent="0.3">
      <c r="A1" s="99" t="s">
        <v>95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1"/>
    </row>
    <row r="2" spans="1:39" ht="7.35" customHeight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"/>
    </row>
    <row r="3" spans="1:39" ht="18" customHeight="1" x14ac:dyDescent="0.25">
      <c r="A3" s="101" t="s">
        <v>0</v>
      </c>
      <c r="B3" s="101"/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3" t="s">
        <v>1</v>
      </c>
      <c r="R3" s="103"/>
      <c r="S3" s="103"/>
      <c r="T3" s="103"/>
      <c r="U3" s="103"/>
      <c r="V3" s="104"/>
      <c r="W3" s="104"/>
      <c r="X3" s="104"/>
      <c r="Y3" s="104"/>
      <c r="Z3" s="104"/>
      <c r="AA3" s="1"/>
    </row>
    <row r="4" spans="1:39" ht="7.35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1"/>
    </row>
    <row r="5" spans="1:39" ht="18" customHeight="1" x14ac:dyDescent="0.25">
      <c r="A5" s="101" t="s">
        <v>2</v>
      </c>
      <c r="B5" s="101"/>
      <c r="C5" s="101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3" t="s">
        <v>3</v>
      </c>
      <c r="R5" s="103"/>
      <c r="S5" s="103"/>
      <c r="T5" s="103"/>
      <c r="U5" s="103"/>
      <c r="V5" s="108"/>
      <c r="W5" s="108"/>
      <c r="X5" s="108"/>
      <c r="Y5" s="108"/>
      <c r="Z5" s="108"/>
      <c r="AA5" s="1"/>
    </row>
    <row r="6" spans="1:39" ht="7.35" customHeight="1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1"/>
    </row>
    <row r="7" spans="1:39" ht="18" customHeight="1" x14ac:dyDescent="0.25">
      <c r="A7" s="70" t="s">
        <v>165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1"/>
    </row>
    <row r="8" spans="1:39" ht="7.3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"/>
    </row>
    <row r="9" spans="1:39" ht="18" customHeight="1" x14ac:dyDescent="0.25">
      <c r="A9" s="22"/>
      <c r="B9" s="54"/>
      <c r="C9" s="71" t="s">
        <v>4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54"/>
      <c r="P9" s="71" t="s">
        <v>5</v>
      </c>
      <c r="Q9" s="71"/>
      <c r="R9" s="71"/>
      <c r="S9" s="71"/>
      <c r="T9" s="71"/>
      <c r="U9" s="71"/>
      <c r="V9" s="71"/>
      <c r="W9" s="71"/>
      <c r="X9" s="71"/>
      <c r="Y9" s="71"/>
      <c r="Z9" s="22"/>
      <c r="AA9" s="1"/>
      <c r="AB9" s="46" t="s">
        <v>164</v>
      </c>
      <c r="AC9"/>
      <c r="AD9"/>
      <c r="AE9"/>
      <c r="AF9"/>
      <c r="AG9"/>
      <c r="AH9"/>
      <c r="AI9"/>
      <c r="AJ9"/>
      <c r="AK9"/>
      <c r="AL9"/>
      <c r="AM9"/>
    </row>
    <row r="10" spans="1:39" ht="7.35" customHeight="1" x14ac:dyDescent="0.25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1"/>
    </row>
    <row r="11" spans="1:39" ht="18" customHeight="1" x14ac:dyDescent="0.25">
      <c r="A11" s="70" t="s">
        <v>49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1"/>
    </row>
    <row r="12" spans="1:39" ht="7.35" customHeight="1" x14ac:dyDescent="0.25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1"/>
    </row>
    <row r="13" spans="1:39" ht="20.100000000000001" customHeight="1" x14ac:dyDescent="0.25">
      <c r="A13" s="74"/>
      <c r="B13" s="12" t="s">
        <v>48</v>
      </c>
      <c r="C13" s="74" t="s">
        <v>50</v>
      </c>
      <c r="D13" s="74"/>
      <c r="E13" s="74"/>
      <c r="F13" s="74"/>
      <c r="G13" s="74"/>
      <c r="H13" s="74"/>
      <c r="I13" s="74"/>
      <c r="J13" s="74"/>
      <c r="K13" s="74"/>
      <c r="L13" s="74"/>
      <c r="M13" s="98"/>
      <c r="N13" s="92"/>
      <c r="O13" s="92"/>
      <c r="P13" s="92"/>
      <c r="Q13" s="13"/>
      <c r="R13" s="92"/>
      <c r="S13" s="92"/>
      <c r="T13" s="92"/>
      <c r="U13" s="73"/>
      <c r="V13" s="74"/>
      <c r="W13" s="74"/>
      <c r="X13" s="74"/>
      <c r="Y13" s="74"/>
      <c r="Z13" s="74"/>
      <c r="AA13" s="1"/>
    </row>
    <row r="14" spans="1:39" ht="20.100000000000001" customHeight="1" x14ac:dyDescent="0.25">
      <c r="A14" s="74"/>
      <c r="B14" s="12" t="s">
        <v>47</v>
      </c>
      <c r="C14" s="71" t="s">
        <v>51</v>
      </c>
      <c r="D14" s="71"/>
      <c r="E14" s="71"/>
      <c r="F14" s="71"/>
      <c r="G14" s="71"/>
      <c r="H14" s="71"/>
      <c r="I14" s="71"/>
      <c r="J14" s="71"/>
      <c r="K14" s="71"/>
      <c r="L14" s="71"/>
      <c r="M14" s="98"/>
      <c r="N14" s="109"/>
      <c r="O14" s="109"/>
      <c r="P14" s="109"/>
      <c r="Q14" s="13"/>
      <c r="R14" s="110"/>
      <c r="S14" s="110"/>
      <c r="T14" s="110"/>
      <c r="U14" s="73"/>
      <c r="V14" s="74"/>
      <c r="W14" s="74"/>
      <c r="X14" s="74"/>
      <c r="Y14" s="74"/>
      <c r="Z14" s="74"/>
      <c r="AA14" s="1"/>
    </row>
    <row r="15" spans="1:39" ht="20.100000000000001" customHeight="1" x14ac:dyDescent="0.25">
      <c r="A15" s="74"/>
      <c r="B15" s="12" t="s">
        <v>45</v>
      </c>
      <c r="C15" s="71" t="s">
        <v>52</v>
      </c>
      <c r="D15" s="71"/>
      <c r="E15" s="71"/>
      <c r="F15" s="71"/>
      <c r="G15" s="71"/>
      <c r="H15" s="71"/>
      <c r="I15" s="71"/>
      <c r="J15" s="71"/>
      <c r="K15" s="71"/>
      <c r="L15" s="71"/>
      <c r="M15" s="98"/>
      <c r="N15" s="94"/>
      <c r="O15" s="94"/>
      <c r="P15" s="94"/>
      <c r="Q15" s="13"/>
      <c r="R15" s="94"/>
      <c r="S15" s="94"/>
      <c r="T15" s="94"/>
      <c r="U15" s="73"/>
      <c r="V15" s="74"/>
      <c r="W15" s="74"/>
      <c r="X15" s="74"/>
      <c r="Y15" s="74"/>
      <c r="Z15" s="74"/>
      <c r="AA15" s="1"/>
    </row>
    <row r="16" spans="1:39" ht="20.100000000000001" customHeight="1" x14ac:dyDescent="0.25">
      <c r="A16" s="74"/>
      <c r="B16" s="12" t="s">
        <v>44</v>
      </c>
      <c r="C16" s="71" t="s">
        <v>99</v>
      </c>
      <c r="D16" s="71"/>
      <c r="E16" s="71"/>
      <c r="F16" s="71"/>
      <c r="G16" s="71"/>
      <c r="H16" s="71"/>
      <c r="I16" s="71"/>
      <c r="J16" s="71"/>
      <c r="K16" s="71"/>
      <c r="L16" s="71"/>
      <c r="M16" s="14"/>
      <c r="N16" s="96"/>
      <c r="O16" s="96"/>
      <c r="P16" s="96"/>
      <c r="Q16" s="20" t="s">
        <v>53</v>
      </c>
      <c r="R16" s="96"/>
      <c r="S16" s="96"/>
      <c r="T16" s="96"/>
      <c r="U16" s="73"/>
      <c r="V16" s="74"/>
      <c r="W16" s="74"/>
      <c r="X16" s="74"/>
      <c r="Y16" s="74"/>
      <c r="Z16" s="74"/>
      <c r="AA16" s="1"/>
    </row>
    <row r="17" spans="1:29" ht="20.100000000000001" customHeight="1" x14ac:dyDescent="0.25">
      <c r="A17" s="74"/>
      <c r="B17" s="12" t="s">
        <v>42</v>
      </c>
      <c r="C17" s="71" t="s">
        <v>54</v>
      </c>
      <c r="D17" s="71"/>
      <c r="E17" s="71"/>
      <c r="F17" s="71"/>
      <c r="G17" s="71"/>
      <c r="H17" s="71"/>
      <c r="I17" s="71"/>
      <c r="J17" s="71"/>
      <c r="K17" s="71"/>
      <c r="L17" s="71"/>
      <c r="M17" s="14"/>
      <c r="N17" s="105">
        <v>3.34</v>
      </c>
      <c r="O17" s="105"/>
      <c r="P17" s="105"/>
      <c r="Q17" s="20" t="s">
        <v>55</v>
      </c>
      <c r="R17" s="105">
        <v>3.34</v>
      </c>
      <c r="S17" s="105"/>
      <c r="T17" s="105"/>
      <c r="U17" s="73"/>
      <c r="V17" s="74"/>
      <c r="W17" s="74"/>
      <c r="X17" s="74"/>
      <c r="Y17" s="74"/>
      <c r="Z17" s="74"/>
      <c r="AA17" s="1"/>
    </row>
    <row r="18" spans="1:29" ht="20.100000000000001" customHeight="1" x14ac:dyDescent="0.25">
      <c r="A18" s="74"/>
      <c r="B18" s="12" t="s">
        <v>39</v>
      </c>
      <c r="C18" s="71" t="s">
        <v>56</v>
      </c>
      <c r="D18" s="71"/>
      <c r="E18" s="71"/>
      <c r="F18" s="71"/>
      <c r="G18" s="71"/>
      <c r="H18" s="71"/>
      <c r="I18" s="71"/>
      <c r="J18" s="71"/>
      <c r="K18" s="71"/>
      <c r="L18" s="71"/>
      <c r="M18" s="14"/>
      <c r="N18" s="106"/>
      <c r="O18" s="106"/>
      <c r="P18" s="106"/>
      <c r="Q18" s="20" t="s">
        <v>57</v>
      </c>
      <c r="R18" s="106"/>
      <c r="S18" s="106"/>
      <c r="T18" s="106"/>
      <c r="U18" s="73"/>
      <c r="V18" s="74"/>
      <c r="W18" s="74"/>
      <c r="X18" s="74"/>
      <c r="Y18" s="74"/>
      <c r="Z18" s="74"/>
      <c r="AA18" s="1"/>
    </row>
    <row r="19" spans="1:29" ht="20.100000000000001" customHeight="1" x14ac:dyDescent="0.25">
      <c r="A19" s="74"/>
      <c r="B19" s="12" t="s">
        <v>37</v>
      </c>
      <c r="C19" s="74" t="s">
        <v>103</v>
      </c>
      <c r="D19" s="74"/>
      <c r="E19" s="74"/>
      <c r="F19" s="74"/>
      <c r="G19" s="74"/>
      <c r="H19" s="74"/>
      <c r="I19" s="74"/>
      <c r="J19" s="74"/>
      <c r="K19" s="74"/>
      <c r="L19" s="74"/>
      <c r="M19" s="14"/>
      <c r="N19" s="72" t="str">
        <f>IF(AND(ISNUMBER(N15),ISNUMBER(N16),ISNUMBER(N17),ISNUMBER(N18)),((N15*N16)^0.8/(N18)^0.4*0.007/(N17)^0.5)*60,"")</f>
        <v/>
      </c>
      <c r="O19" s="72"/>
      <c r="P19" s="72"/>
      <c r="Q19" s="4" t="s">
        <v>58</v>
      </c>
      <c r="R19" s="72" t="str">
        <f>IF(AND(ISNUMBER(R15),ISNUMBER(R16),ISNUMBER(R17),ISNUMBER(R18)),((R15*R16)^0.8/(R18)^0.4*0.007/(R17)^0.5)*60,"")</f>
        <v/>
      </c>
      <c r="S19" s="72"/>
      <c r="T19" s="72"/>
      <c r="U19" s="4" t="s">
        <v>13</v>
      </c>
      <c r="V19" s="72" t="str">
        <f>IF(OR(ISNUMBER(N19),ISNUMBER(R19)),SUM(N19,R19),"")</f>
        <v/>
      </c>
      <c r="W19" s="72"/>
      <c r="X19" s="72"/>
      <c r="Y19" s="73" t="s">
        <v>93</v>
      </c>
      <c r="Z19" s="74"/>
      <c r="AA19" s="1"/>
      <c r="AB19" s="52"/>
    </row>
    <row r="20" spans="1:29" ht="7.35" customHeight="1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1"/>
    </row>
    <row r="21" spans="1:29" ht="18" customHeight="1" x14ac:dyDescent="0.25">
      <c r="A21" s="70" t="s">
        <v>60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1"/>
    </row>
    <row r="22" spans="1:29" ht="7.35" customHeight="1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1"/>
    </row>
    <row r="23" spans="1:29" ht="20.100000000000001" customHeight="1" x14ac:dyDescent="0.25">
      <c r="A23" s="74"/>
      <c r="B23" s="12" t="s">
        <v>35</v>
      </c>
      <c r="C23" s="74" t="s">
        <v>50</v>
      </c>
      <c r="D23" s="74"/>
      <c r="E23" s="74"/>
      <c r="F23" s="74"/>
      <c r="G23" s="74"/>
      <c r="H23" s="74"/>
      <c r="I23" s="74"/>
      <c r="J23" s="74"/>
      <c r="K23" s="74"/>
      <c r="L23" s="74"/>
      <c r="M23" s="14"/>
      <c r="N23" s="92"/>
      <c r="O23" s="92"/>
      <c r="P23" s="92"/>
      <c r="Q23" s="13"/>
      <c r="R23" s="92"/>
      <c r="S23" s="92"/>
      <c r="T23" s="92"/>
      <c r="U23" s="73"/>
      <c r="V23" s="74"/>
      <c r="W23" s="74"/>
      <c r="X23" s="74"/>
      <c r="Y23" s="74"/>
      <c r="Z23" s="74"/>
      <c r="AA23" s="1"/>
    </row>
    <row r="24" spans="1:29" ht="20.100000000000001" customHeight="1" x14ac:dyDescent="0.25">
      <c r="A24" s="74"/>
      <c r="B24" s="12" t="s">
        <v>33</v>
      </c>
      <c r="C24" s="74" t="s">
        <v>97</v>
      </c>
      <c r="D24" s="74"/>
      <c r="E24" s="74"/>
      <c r="F24" s="74"/>
      <c r="G24" s="74"/>
      <c r="H24" s="74"/>
      <c r="I24" s="74"/>
      <c r="J24" s="74"/>
      <c r="K24" s="74"/>
      <c r="L24" s="74"/>
      <c r="M24" s="19"/>
      <c r="N24" s="93"/>
      <c r="O24" s="93"/>
      <c r="P24" s="93"/>
      <c r="Q24" s="13"/>
      <c r="R24" s="93"/>
      <c r="S24" s="93"/>
      <c r="T24" s="93"/>
      <c r="U24" s="73"/>
      <c r="V24" s="74"/>
      <c r="W24" s="74"/>
      <c r="X24" s="74"/>
      <c r="Y24" s="74"/>
      <c r="Z24" s="74"/>
      <c r="AA24" s="1"/>
    </row>
    <row r="25" spans="1:29" ht="20.100000000000001" customHeight="1" x14ac:dyDescent="0.25">
      <c r="A25" s="74"/>
      <c r="B25" s="12" t="s">
        <v>31</v>
      </c>
      <c r="C25" s="74" t="s">
        <v>100</v>
      </c>
      <c r="D25" s="74"/>
      <c r="E25" s="74"/>
      <c r="F25" s="74"/>
      <c r="G25" s="74"/>
      <c r="H25" s="74"/>
      <c r="I25" s="74"/>
      <c r="J25" s="74"/>
      <c r="K25" s="74"/>
      <c r="L25" s="74"/>
      <c r="N25" s="94"/>
      <c r="O25" s="94"/>
      <c r="P25" s="94"/>
      <c r="Q25" s="20" t="s">
        <v>53</v>
      </c>
      <c r="R25" s="94"/>
      <c r="S25" s="94"/>
      <c r="T25" s="94"/>
      <c r="U25" s="73"/>
      <c r="V25" s="74"/>
      <c r="W25" s="74"/>
      <c r="X25" s="74"/>
      <c r="Y25" s="74"/>
      <c r="Z25" s="74"/>
      <c r="AA25" s="1"/>
      <c r="AB25" s="2" t="s">
        <v>62</v>
      </c>
    </row>
    <row r="26" spans="1:29" ht="20.100000000000001" customHeight="1" x14ac:dyDescent="0.25">
      <c r="A26" s="74"/>
      <c r="B26" s="12" t="s">
        <v>29</v>
      </c>
      <c r="C26" s="74" t="s">
        <v>101</v>
      </c>
      <c r="D26" s="74"/>
      <c r="E26" s="74"/>
      <c r="F26" s="74"/>
      <c r="G26" s="74"/>
      <c r="H26" s="74"/>
      <c r="I26" s="74"/>
      <c r="J26" s="74"/>
      <c r="K26" s="74"/>
      <c r="L26" s="74"/>
      <c r="N26" s="95"/>
      <c r="O26" s="95"/>
      <c r="P26" s="95"/>
      <c r="Q26" s="20" t="s">
        <v>57</v>
      </c>
      <c r="R26" s="95"/>
      <c r="S26" s="95"/>
      <c r="T26" s="95"/>
      <c r="U26" s="73"/>
      <c r="V26" s="74"/>
      <c r="W26" s="74"/>
      <c r="X26" s="74"/>
      <c r="Y26" s="74"/>
      <c r="Z26" s="74"/>
      <c r="AA26" s="1"/>
      <c r="AB26" s="2" t="s">
        <v>61</v>
      </c>
    </row>
    <row r="27" spans="1:29" ht="20.100000000000001" customHeight="1" x14ac:dyDescent="0.25">
      <c r="A27" s="74"/>
      <c r="B27" s="12" t="s">
        <v>26</v>
      </c>
      <c r="C27" s="74" t="s">
        <v>96</v>
      </c>
      <c r="D27" s="74"/>
      <c r="E27" s="74"/>
      <c r="F27" s="74"/>
      <c r="G27" s="74"/>
      <c r="H27" s="74"/>
      <c r="I27" s="74"/>
      <c r="J27" s="74"/>
      <c r="K27" s="74"/>
      <c r="L27" s="74"/>
      <c r="N27" s="72" t="str">
        <f>IF(AND(ISTEXT(N24),ISNUMBER(N25),ISNUMBER(N26)),SQRT(N26)*IF(N24="Paved",20.3282,16.1345),"")</f>
        <v/>
      </c>
      <c r="O27" s="72"/>
      <c r="P27" s="72"/>
      <c r="Q27" s="20" t="s">
        <v>63</v>
      </c>
      <c r="R27" s="72" t="str">
        <f>IF(AND(ISTEXT(R24),ISNUMBER(R25),ISNUMBER(R26)),SQRT(R26)*IF(R24="Paved",20.3282,16.1345),"")</f>
        <v/>
      </c>
      <c r="S27" s="72"/>
      <c r="T27" s="72"/>
      <c r="U27" s="73"/>
      <c r="V27" s="74"/>
      <c r="W27" s="74"/>
      <c r="X27" s="74"/>
      <c r="Y27" s="74"/>
      <c r="Z27" s="74"/>
      <c r="AA27" s="1"/>
    </row>
    <row r="28" spans="1:29" ht="20.100000000000001" customHeight="1" x14ac:dyDescent="0.25">
      <c r="A28" s="74"/>
      <c r="B28" s="12" t="s">
        <v>24</v>
      </c>
      <c r="C28" s="74" t="s">
        <v>103</v>
      </c>
      <c r="D28" s="74"/>
      <c r="E28" s="74"/>
      <c r="F28" s="74"/>
      <c r="G28" s="74"/>
      <c r="H28" s="74"/>
      <c r="I28" s="74"/>
      <c r="J28" s="74"/>
      <c r="K28" s="74"/>
      <c r="L28" s="74"/>
      <c r="M28" s="14"/>
      <c r="N28" s="72" t="str">
        <f>IF(ISNUMBER(N27),N25/(60*N27),"")</f>
        <v/>
      </c>
      <c r="O28" s="72"/>
      <c r="P28" s="72"/>
      <c r="Q28" s="4" t="s">
        <v>58</v>
      </c>
      <c r="R28" s="72" t="str">
        <f>IF(ISNUMBER(R27),R25/(60*R27),"")</f>
        <v/>
      </c>
      <c r="S28" s="72"/>
      <c r="T28" s="72"/>
      <c r="U28" s="4" t="s">
        <v>13</v>
      </c>
      <c r="V28" s="79" t="str">
        <f>IF(OR(ISNUMBER(N28),ISNUMBER(R28)),SUM(N28,R28),"")</f>
        <v/>
      </c>
      <c r="W28" s="80"/>
      <c r="X28" s="81"/>
      <c r="Y28" s="73" t="s">
        <v>93</v>
      </c>
      <c r="Z28" s="74"/>
      <c r="AA28" s="1"/>
      <c r="AC28" s="52"/>
    </row>
    <row r="29" spans="1:29" ht="7.35" customHeight="1" x14ac:dyDescent="0.25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1"/>
    </row>
    <row r="30" spans="1:29" ht="18" customHeight="1" x14ac:dyDescent="0.25">
      <c r="A30" s="70" t="s">
        <v>64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1"/>
    </row>
    <row r="31" spans="1:29" ht="7.35" customHeight="1" x14ac:dyDescent="0.25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1"/>
    </row>
    <row r="32" spans="1:29" ht="20.100000000000001" customHeight="1" x14ac:dyDescent="0.25">
      <c r="A32" s="74"/>
      <c r="B32" s="12" t="s">
        <v>20</v>
      </c>
      <c r="C32" s="74" t="s">
        <v>50</v>
      </c>
      <c r="D32" s="74"/>
      <c r="E32" s="74"/>
      <c r="F32" s="74"/>
      <c r="G32" s="74"/>
      <c r="H32" s="74"/>
      <c r="I32" s="74"/>
      <c r="J32" s="74"/>
      <c r="K32" s="74"/>
      <c r="L32" s="74"/>
      <c r="M32" s="5"/>
      <c r="N32" s="92"/>
      <c r="O32" s="92"/>
      <c r="P32" s="92"/>
      <c r="Q32" s="13"/>
      <c r="R32" s="92"/>
      <c r="S32" s="92"/>
      <c r="T32" s="92"/>
      <c r="U32" s="73"/>
      <c r="V32" s="74"/>
      <c r="W32" s="74"/>
      <c r="X32" s="74"/>
      <c r="Y32" s="74"/>
      <c r="Z32" s="74"/>
      <c r="AA32" s="1"/>
    </row>
    <row r="33" spans="1:27" ht="20.100000000000001" customHeight="1" x14ac:dyDescent="0.25">
      <c r="A33" s="74"/>
      <c r="B33" s="12" t="s">
        <v>65</v>
      </c>
      <c r="C33" s="74" t="s">
        <v>66</v>
      </c>
      <c r="D33" s="74"/>
      <c r="E33" s="74"/>
      <c r="F33" s="74"/>
      <c r="G33" s="74"/>
      <c r="H33" s="74"/>
      <c r="I33" s="74"/>
      <c r="J33" s="74"/>
      <c r="K33" s="74"/>
      <c r="L33" s="74"/>
      <c r="N33" s="83"/>
      <c r="O33" s="83"/>
      <c r="P33" s="83"/>
      <c r="Q33" s="20" t="s">
        <v>98</v>
      </c>
      <c r="R33" s="83"/>
      <c r="S33" s="83"/>
      <c r="T33" s="83"/>
      <c r="U33" s="73"/>
      <c r="V33" s="74"/>
      <c r="W33" s="74"/>
      <c r="X33" s="74"/>
      <c r="Y33" s="74"/>
      <c r="Z33" s="74"/>
      <c r="AA33" s="1"/>
    </row>
    <row r="34" spans="1:27" ht="20.100000000000001" customHeight="1" x14ac:dyDescent="0.25">
      <c r="A34" s="74"/>
      <c r="B34" s="12" t="s">
        <v>67</v>
      </c>
      <c r="C34" s="74" t="s">
        <v>68</v>
      </c>
      <c r="D34" s="74"/>
      <c r="E34" s="74"/>
      <c r="F34" s="74"/>
      <c r="G34" s="74"/>
      <c r="H34" s="74"/>
      <c r="I34" s="74"/>
      <c r="J34" s="74"/>
      <c r="K34" s="74"/>
      <c r="L34" s="74"/>
      <c r="N34" s="91"/>
      <c r="O34" s="91"/>
      <c r="P34" s="91"/>
      <c r="Q34" s="20" t="s">
        <v>53</v>
      </c>
      <c r="R34" s="91"/>
      <c r="S34" s="91"/>
      <c r="T34" s="91"/>
      <c r="U34" s="73"/>
      <c r="V34" s="74"/>
      <c r="W34" s="74"/>
      <c r="X34" s="74"/>
      <c r="Y34" s="74"/>
      <c r="Z34" s="74"/>
      <c r="AA34" s="1"/>
    </row>
    <row r="35" spans="1:27" ht="20.100000000000001" customHeight="1" x14ac:dyDescent="0.25">
      <c r="A35" s="74"/>
      <c r="B35" s="12" t="s">
        <v>69</v>
      </c>
      <c r="C35" s="74" t="s">
        <v>107</v>
      </c>
      <c r="D35" s="74"/>
      <c r="E35" s="74"/>
      <c r="F35" s="74"/>
      <c r="G35" s="74"/>
      <c r="H35" s="74"/>
      <c r="I35" s="74"/>
      <c r="J35" s="74"/>
      <c r="K35" s="74"/>
      <c r="L35" s="74"/>
      <c r="N35" s="72" t="str">
        <f>IF(AND(ISNUMBER(N33),ISNUMBER(N34)),N33/N34,"")</f>
        <v/>
      </c>
      <c r="O35" s="72"/>
      <c r="P35" s="72"/>
      <c r="Q35" s="20" t="s">
        <v>53</v>
      </c>
      <c r="R35" s="79" t="str">
        <f>IF(ISNUMBER(R34),R33/R34,"")</f>
        <v/>
      </c>
      <c r="S35" s="80"/>
      <c r="T35" s="81"/>
      <c r="U35" s="73"/>
      <c r="V35" s="74"/>
      <c r="W35" s="74"/>
      <c r="X35" s="74"/>
      <c r="Y35" s="74"/>
      <c r="Z35" s="74"/>
      <c r="AA35" s="1"/>
    </row>
    <row r="36" spans="1:27" ht="20.100000000000001" customHeight="1" x14ac:dyDescent="0.25">
      <c r="A36" s="74"/>
      <c r="B36" s="12" t="s">
        <v>70</v>
      </c>
      <c r="C36" s="71" t="s">
        <v>102</v>
      </c>
      <c r="D36" s="71"/>
      <c r="E36" s="71"/>
      <c r="F36" s="71"/>
      <c r="G36" s="71"/>
      <c r="H36" s="71"/>
      <c r="I36" s="71"/>
      <c r="J36" s="71"/>
      <c r="K36" s="71"/>
      <c r="L36" s="71"/>
      <c r="N36" s="82"/>
      <c r="O36" s="82"/>
      <c r="P36" s="82"/>
      <c r="Q36" s="20" t="s">
        <v>53</v>
      </c>
      <c r="R36" s="82"/>
      <c r="S36" s="82"/>
      <c r="T36" s="82"/>
      <c r="U36" s="73"/>
      <c r="V36" s="74"/>
      <c r="W36" s="74"/>
      <c r="X36" s="74"/>
      <c r="Y36" s="74"/>
      <c r="Z36" s="74"/>
      <c r="AA36" s="1"/>
    </row>
    <row r="37" spans="1:27" ht="20.100000000000001" customHeight="1" x14ac:dyDescent="0.25">
      <c r="A37" s="74"/>
      <c r="B37" s="12" t="s">
        <v>71</v>
      </c>
      <c r="C37" s="74" t="s">
        <v>72</v>
      </c>
      <c r="D37" s="74"/>
      <c r="E37" s="74"/>
      <c r="F37" s="74"/>
      <c r="G37" s="74"/>
      <c r="H37" s="74"/>
      <c r="I37" s="74"/>
      <c r="J37" s="74"/>
      <c r="K37" s="74"/>
      <c r="L37" s="74"/>
      <c r="N37" s="75"/>
      <c r="O37" s="75"/>
      <c r="P37" s="75"/>
      <c r="Q37" s="20" t="s">
        <v>57</v>
      </c>
      <c r="R37" s="75"/>
      <c r="S37" s="75"/>
      <c r="T37" s="75"/>
      <c r="U37" s="73"/>
      <c r="V37" s="74"/>
      <c r="W37" s="74"/>
      <c r="X37" s="74"/>
      <c r="Y37" s="74"/>
      <c r="Z37" s="74"/>
      <c r="AA37" s="1"/>
    </row>
    <row r="38" spans="1:27" ht="20.100000000000001" customHeight="1" x14ac:dyDescent="0.25">
      <c r="A38" s="74"/>
      <c r="B38" s="12" t="s">
        <v>73</v>
      </c>
      <c r="C38" s="71" t="s">
        <v>52</v>
      </c>
      <c r="D38" s="71"/>
      <c r="E38" s="71"/>
      <c r="F38" s="71"/>
      <c r="G38" s="71"/>
      <c r="H38" s="71"/>
      <c r="I38" s="71"/>
      <c r="J38" s="71"/>
      <c r="K38" s="71"/>
      <c r="L38" s="71"/>
      <c r="M38" s="14"/>
      <c r="N38" s="76"/>
      <c r="O38" s="77"/>
      <c r="P38" s="78"/>
      <c r="Q38" s="15"/>
      <c r="R38" s="76"/>
      <c r="S38" s="77"/>
      <c r="T38" s="78"/>
      <c r="U38" s="73"/>
      <c r="V38" s="74"/>
      <c r="W38" s="74"/>
      <c r="X38" s="74"/>
      <c r="Y38" s="74"/>
      <c r="Z38" s="74"/>
      <c r="AA38" s="1"/>
    </row>
    <row r="39" spans="1:27" ht="20.100000000000001" customHeight="1" x14ac:dyDescent="0.25">
      <c r="A39" s="74"/>
      <c r="B39" s="12" t="s">
        <v>74</v>
      </c>
      <c r="C39" s="71" t="s">
        <v>96</v>
      </c>
      <c r="D39" s="71"/>
      <c r="E39" s="71"/>
      <c r="F39" s="71"/>
      <c r="G39" s="71"/>
      <c r="H39" s="71"/>
      <c r="I39" s="71"/>
      <c r="J39" s="71"/>
      <c r="K39" s="71"/>
      <c r="L39" s="71"/>
      <c r="N39" s="88" t="str">
        <f>IF(AND(ISNUMBER(N35),ISNUMBER(N37),ISNUMBER(N38)),(1.486/N38)*(N35^(2/3))*(N37^(1/2)),"")</f>
        <v/>
      </c>
      <c r="O39" s="89"/>
      <c r="P39" s="90"/>
      <c r="Q39" s="20" t="s">
        <v>63</v>
      </c>
      <c r="R39" s="88" t="str">
        <f>IF(ISNUMBER(R38),(1.486/R38)*(R35^(2/3))*(R37^(1/2)),"")</f>
        <v/>
      </c>
      <c r="S39" s="89"/>
      <c r="T39" s="90"/>
      <c r="U39" s="73"/>
      <c r="V39" s="74"/>
      <c r="W39" s="74"/>
      <c r="X39" s="74"/>
      <c r="Y39" s="74"/>
      <c r="Z39" s="74"/>
      <c r="AA39" s="1"/>
    </row>
    <row r="40" spans="1:27" ht="20.100000000000001" customHeight="1" x14ac:dyDescent="0.25">
      <c r="A40" s="74"/>
      <c r="B40" s="12" t="s">
        <v>75</v>
      </c>
      <c r="C40" s="74" t="s">
        <v>103</v>
      </c>
      <c r="D40" s="74"/>
      <c r="E40" s="74"/>
      <c r="F40" s="74"/>
      <c r="G40" s="74"/>
      <c r="H40" s="74"/>
      <c r="I40" s="74"/>
      <c r="J40" s="74"/>
      <c r="K40" s="74"/>
      <c r="L40" s="74"/>
      <c r="M40" s="14"/>
      <c r="N40" s="72" t="str">
        <f>IF(AND(ISNUMBER(N36),ISNUMBER(N39)),(N36/(3600*N39))*60,"")</f>
        <v/>
      </c>
      <c r="O40" s="72"/>
      <c r="P40" s="72"/>
      <c r="Q40" s="4" t="s">
        <v>58</v>
      </c>
      <c r="R40" s="72" t="str">
        <f>IF(ISNUMBER(R39),(R36/(3600*R39))*60,"")</f>
        <v/>
      </c>
      <c r="S40" s="72"/>
      <c r="T40" s="72"/>
      <c r="U40" s="4" t="s">
        <v>13</v>
      </c>
      <c r="V40" s="72" t="str">
        <f>IF(OR(ISNUMBER(N40),ISNUMBER(R40)),SUM(N40,R40),"")</f>
        <v/>
      </c>
      <c r="W40" s="72"/>
      <c r="X40" s="72"/>
      <c r="Y40" s="73" t="s">
        <v>93</v>
      </c>
      <c r="Z40" s="74"/>
      <c r="AA40" s="1"/>
    </row>
    <row r="41" spans="1:27" ht="7.35" customHeight="1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1"/>
    </row>
    <row r="42" spans="1:27" ht="18" customHeight="1" x14ac:dyDescent="0.25">
      <c r="A42" s="70" t="s">
        <v>76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1"/>
    </row>
    <row r="43" spans="1:27" ht="7.35" customHeight="1" thickBot="1" x14ac:dyDescent="0.3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1"/>
    </row>
    <row r="44" spans="1:27" ht="36" customHeight="1" thickBot="1" x14ac:dyDescent="0.3">
      <c r="A44" s="5"/>
      <c r="B44" s="53" t="s">
        <v>77</v>
      </c>
      <c r="C44" s="74" t="s">
        <v>78</v>
      </c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16" t="s">
        <v>13</v>
      </c>
      <c r="V44" s="84" t="str">
        <f>IF(OR(ISNUMBER(V19),ISNUMBER(V28),ISNUMBER(V40)),SUM(V19,V28,V40),"")</f>
        <v/>
      </c>
      <c r="W44" s="85"/>
      <c r="X44" s="86"/>
      <c r="Y44" s="87" t="s">
        <v>93</v>
      </c>
      <c r="Z44" s="74"/>
      <c r="AA44" s="1"/>
    </row>
  </sheetData>
  <sheetProtection algorithmName="SHA-512" hashValue="i5rHIBNmd0BMrVCmaaCznz0zjbyxK4pU27ytMar16qOQTaKW+IpYdivfSkwmYlKXPPTrPol4f1jtHmWr3gaD8A==" saltValue="nN33wVbG7Go8vEZkGTvedg==" spinCount="100000" sheet="1" selectLockedCells="1"/>
  <mergeCells count="109">
    <mergeCell ref="A1:Z1"/>
    <mergeCell ref="A2:Z2"/>
    <mergeCell ref="A3:C3"/>
    <mergeCell ref="D3:P3"/>
    <mergeCell ref="Q3:U3"/>
    <mergeCell ref="V3:Z3"/>
    <mergeCell ref="N17:P17"/>
    <mergeCell ref="R17:T17"/>
    <mergeCell ref="C18:L18"/>
    <mergeCell ref="N18:P18"/>
    <mergeCell ref="R18:T18"/>
    <mergeCell ref="A4:Z4"/>
    <mergeCell ref="A5:C5"/>
    <mergeCell ref="D5:P5"/>
    <mergeCell ref="Q5:U5"/>
    <mergeCell ref="V5:Z5"/>
    <mergeCell ref="A6:Z6"/>
    <mergeCell ref="N14:P14"/>
    <mergeCell ref="R14:T14"/>
    <mergeCell ref="C15:L15"/>
    <mergeCell ref="N15:P15"/>
    <mergeCell ref="R15:T15"/>
    <mergeCell ref="C16:L16"/>
    <mergeCell ref="N16:P16"/>
    <mergeCell ref="R16:T16"/>
    <mergeCell ref="A10:Z10"/>
    <mergeCell ref="A11:Z11"/>
    <mergeCell ref="A12:Z12"/>
    <mergeCell ref="A13:A19"/>
    <mergeCell ref="C13:L13"/>
    <mergeCell ref="M13:M15"/>
    <mergeCell ref="N13:P13"/>
    <mergeCell ref="R13:T13"/>
    <mergeCell ref="U13:Z18"/>
    <mergeCell ref="C14:L14"/>
    <mergeCell ref="C19:L19"/>
    <mergeCell ref="N19:P19"/>
    <mergeCell ref="R19:T19"/>
    <mergeCell ref="V19:X19"/>
    <mergeCell ref="Y19:Z19"/>
    <mergeCell ref="C17:L17"/>
    <mergeCell ref="R28:T28"/>
    <mergeCell ref="C25:L25"/>
    <mergeCell ref="N25:P25"/>
    <mergeCell ref="R25:T25"/>
    <mergeCell ref="C26:L26"/>
    <mergeCell ref="N26:P26"/>
    <mergeCell ref="R26:T26"/>
    <mergeCell ref="C24:L24"/>
    <mergeCell ref="A20:Z20"/>
    <mergeCell ref="A21:Z21"/>
    <mergeCell ref="A22:Z22"/>
    <mergeCell ref="N34:P34"/>
    <mergeCell ref="R34:T34"/>
    <mergeCell ref="V28:X28"/>
    <mergeCell ref="Y28:Z28"/>
    <mergeCell ref="A29:Z29"/>
    <mergeCell ref="A30:Z30"/>
    <mergeCell ref="A31:Z31"/>
    <mergeCell ref="A32:A40"/>
    <mergeCell ref="C32:L32"/>
    <mergeCell ref="N32:P32"/>
    <mergeCell ref="R32:T32"/>
    <mergeCell ref="U32:Z39"/>
    <mergeCell ref="A23:A28"/>
    <mergeCell ref="C23:L23"/>
    <mergeCell ref="N23:P23"/>
    <mergeCell ref="R23:T23"/>
    <mergeCell ref="U23:Z27"/>
    <mergeCell ref="N24:P24"/>
    <mergeCell ref="R24:T24"/>
    <mergeCell ref="C27:L27"/>
    <mergeCell ref="N27:P27"/>
    <mergeCell ref="R27:T27"/>
    <mergeCell ref="C28:L28"/>
    <mergeCell ref="N28:P28"/>
    <mergeCell ref="C44:T44"/>
    <mergeCell ref="V44:X44"/>
    <mergeCell ref="Y44:Z44"/>
    <mergeCell ref="C39:L39"/>
    <mergeCell ref="N39:P39"/>
    <mergeCell ref="R39:T39"/>
    <mergeCell ref="C40:L40"/>
    <mergeCell ref="N40:P40"/>
    <mergeCell ref="R40:T40"/>
    <mergeCell ref="A7:Z7"/>
    <mergeCell ref="C9:N9"/>
    <mergeCell ref="P9:Y9"/>
    <mergeCell ref="V40:X40"/>
    <mergeCell ref="Y40:Z40"/>
    <mergeCell ref="A41:Z41"/>
    <mergeCell ref="A42:Z42"/>
    <mergeCell ref="A43:Z43"/>
    <mergeCell ref="C37:L37"/>
    <mergeCell ref="N37:P37"/>
    <mergeCell ref="R37:T37"/>
    <mergeCell ref="C38:L38"/>
    <mergeCell ref="N38:P38"/>
    <mergeCell ref="R38:T38"/>
    <mergeCell ref="C35:L35"/>
    <mergeCell ref="N35:P35"/>
    <mergeCell ref="R35:T35"/>
    <mergeCell ref="C36:L36"/>
    <mergeCell ref="N36:P36"/>
    <mergeCell ref="R36:T36"/>
    <mergeCell ref="C33:L33"/>
    <mergeCell ref="N33:P33"/>
    <mergeCell ref="R33:T33"/>
    <mergeCell ref="C34:L34"/>
  </mergeCells>
  <dataValidations count="2">
    <dataValidation type="list" allowBlank="1" showInputMessage="1" showErrorMessage="1" prompt="Select &quot;Paved&quot; or &quot;Unpaved&quot; to calculate the average velocity." sqref="R24:T24 N24:P24" xr:uid="{00000000-0002-0000-0000-000000000000}">
      <formula1>$AB$24:$AB$26</formula1>
    </dataValidation>
    <dataValidation type="list" allowBlank="1" showInputMessage="1" showErrorMessage="1" sqref="B9 O9" xr:uid="{00000000-0002-0000-0000-000001000000}">
      <formula1>$AA$9:$AB$9</formula1>
    </dataValidation>
  </dataValidations>
  <printOptions horizontalCentered="1"/>
  <pageMargins left="1" right="1" top="0.5" bottom="0.5" header="0" footer="0"/>
  <pageSetup orientation="portrait" r:id="rId1"/>
  <headerFooter>
    <oddFooter xml:space="preserve">&amp;L4/7/2022
</oddFooter>
    <firstFooter xml:space="preserve">&amp;L&amp;10 10/7/2019
</firstFooter>
  </headerFooter>
  <colBreaks count="1" manualBreakCount="1">
    <brk id="26" max="1048575" man="1"/>
  </colBreaks>
  <ignoredErrors>
    <ignoredError sqref="A19:Z22 A27:Z31 A23:M23 U23:Z23 A24:M24 U24:Z24 Q24 Q23 A13:M13 Q13 A14:M14 Q14 A15:M15 Q15 A16:M16 Q16 A17:M17 Q17 A18:M18 Q18 A25:M25 Q25 A26:M26 Q26 U25:Z25 U26:Z26 A35:Z35 A32:M34 Q34 A37:M37 A36:M36 Q36 A39:Z43 A38:M38 Q38 Q37 U13:Z13 U14:Z14 U15:Z15 U17:Z17 U16:Z16 U18:Z18 Q32 U32:Z32 Q33 U33:Z33 U34:Z34 U36:Z36 U37:Z37 U38:Z38 A44:U44 W44:Z44" numberStoredAsText="1"/>
  </ignoredErrors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28</xdr:col>
                <xdr:colOff>457200</xdr:colOff>
                <xdr:row>8</xdr:row>
                <xdr:rowOff>161925</xdr:rowOff>
              </from>
              <to>
                <xdr:col>56</xdr:col>
                <xdr:colOff>47625</xdr:colOff>
                <xdr:row>38</xdr:row>
                <xdr:rowOff>114300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51"/>
  <sheetViews>
    <sheetView showGridLines="0" zoomScaleNormal="100" zoomScaleSheetLayoutView="130" zoomScalePageLayoutView="145" workbookViewId="0">
      <selection activeCell="D3" sqref="D3:P3"/>
    </sheetView>
  </sheetViews>
  <sheetFormatPr defaultColWidth="3.140625" defaultRowHeight="18" customHeight="1" x14ac:dyDescent="0.25"/>
  <cols>
    <col min="1" max="26" width="3.140625" style="2" customWidth="1"/>
    <col min="27" max="16384" width="3.140625" style="2"/>
  </cols>
  <sheetData>
    <row r="1" spans="1:27" ht="18" customHeight="1" thickBot="1" x14ac:dyDescent="0.3">
      <c r="A1" s="99" t="s">
        <v>182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1"/>
    </row>
    <row r="2" spans="1:27" ht="7.35" customHeight="1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"/>
    </row>
    <row r="3" spans="1:27" ht="18" customHeight="1" x14ac:dyDescent="0.25">
      <c r="A3" s="101" t="s">
        <v>0</v>
      </c>
      <c r="B3" s="101"/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3" t="s">
        <v>1</v>
      </c>
      <c r="R3" s="103"/>
      <c r="S3" s="103"/>
      <c r="T3" s="103"/>
      <c r="U3" s="103"/>
      <c r="V3" s="104"/>
      <c r="W3" s="104"/>
      <c r="X3" s="104"/>
      <c r="Y3" s="104"/>
      <c r="Z3" s="104"/>
      <c r="AA3" s="1"/>
    </row>
    <row r="4" spans="1:27" ht="7.35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1"/>
    </row>
    <row r="5" spans="1:27" ht="18" customHeight="1" x14ac:dyDescent="0.25">
      <c r="A5" s="101" t="s">
        <v>2</v>
      </c>
      <c r="B5" s="101"/>
      <c r="C5" s="101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3" t="s">
        <v>3</v>
      </c>
      <c r="R5" s="103"/>
      <c r="S5" s="103"/>
      <c r="T5" s="103"/>
      <c r="U5" s="103"/>
      <c r="V5" s="104"/>
      <c r="W5" s="104"/>
      <c r="X5" s="104"/>
      <c r="Y5" s="104"/>
      <c r="Z5" s="104"/>
      <c r="AA5" s="1"/>
    </row>
    <row r="6" spans="1:27" ht="7.35" customHeight="1" x14ac:dyDescent="0.25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"/>
    </row>
    <row r="7" spans="1:27" ht="18" customHeight="1" x14ac:dyDescent="0.25">
      <c r="A7" s="70" t="s">
        <v>122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1"/>
    </row>
    <row r="8" spans="1:27" ht="7.35" customHeight="1" x14ac:dyDescent="0.25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1"/>
    </row>
    <row r="9" spans="1:27" ht="36" customHeight="1" x14ac:dyDescent="0.25">
      <c r="A9" s="74"/>
      <c r="B9" s="9" t="s">
        <v>48</v>
      </c>
      <c r="C9" s="74" t="s">
        <v>151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243"/>
      <c r="Q9" s="243"/>
      <c r="R9" s="248"/>
      <c r="S9" s="75"/>
      <c r="T9" s="75"/>
      <c r="U9" s="75"/>
      <c r="V9" s="75"/>
      <c r="W9" s="75"/>
      <c r="X9" s="75"/>
      <c r="Y9" s="73" t="s">
        <v>46</v>
      </c>
      <c r="Z9" s="74"/>
      <c r="AA9" s="1"/>
    </row>
    <row r="10" spans="1:27" ht="36" customHeight="1" x14ac:dyDescent="0.25">
      <c r="A10" s="74"/>
      <c r="B10" s="9" t="s">
        <v>47</v>
      </c>
      <c r="C10" s="71" t="s">
        <v>169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243"/>
      <c r="Q10" s="243"/>
      <c r="R10" s="248"/>
      <c r="S10" s="75"/>
      <c r="T10" s="75"/>
      <c r="U10" s="75"/>
      <c r="V10" s="75"/>
      <c r="W10" s="75"/>
      <c r="X10" s="75"/>
      <c r="Y10" s="73"/>
      <c r="Z10" s="74"/>
      <c r="AA10" s="1"/>
    </row>
    <row r="11" spans="1:27" ht="36" customHeight="1" x14ac:dyDescent="0.25">
      <c r="A11" s="74"/>
      <c r="B11" s="9" t="s">
        <v>45</v>
      </c>
      <c r="C11" s="74" t="s">
        <v>153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243"/>
      <c r="Q11" s="243"/>
      <c r="R11" s="248"/>
      <c r="S11" s="191"/>
      <c r="T11" s="192"/>
      <c r="U11" s="192"/>
      <c r="V11" s="192"/>
      <c r="W11" s="192"/>
      <c r="X11" s="193"/>
      <c r="Y11" s="73" t="s">
        <v>86</v>
      </c>
      <c r="Z11" s="74"/>
      <c r="AA11" s="1"/>
    </row>
    <row r="12" spans="1:27" ht="7.35" customHeight="1" x14ac:dyDescent="0.25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1"/>
    </row>
    <row r="13" spans="1:27" ht="18" customHeight="1" x14ac:dyDescent="0.25">
      <c r="A13" s="70" t="s">
        <v>87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1"/>
    </row>
    <row r="14" spans="1:27" ht="7.35" customHeight="1" thickBot="1" x14ac:dyDescent="0.3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1"/>
    </row>
    <row r="15" spans="1:27" ht="36" customHeight="1" thickBot="1" x14ac:dyDescent="0.3">
      <c r="A15" s="5"/>
      <c r="B15" s="9" t="s">
        <v>44</v>
      </c>
      <c r="C15" s="71" t="s">
        <v>155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243"/>
      <c r="Q15" s="243"/>
      <c r="R15" s="244"/>
      <c r="S15" s="245" t="str">
        <f>IF(S11="","",MAX(S20:S49))</f>
        <v/>
      </c>
      <c r="T15" s="246"/>
      <c r="U15" s="246"/>
      <c r="V15" s="246"/>
      <c r="W15" s="246"/>
      <c r="X15" s="247"/>
      <c r="Y15" s="87" t="s">
        <v>27</v>
      </c>
      <c r="Z15" s="74"/>
      <c r="AA15" s="1"/>
    </row>
    <row r="16" spans="1:27" ht="7.35" customHeight="1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1"/>
    </row>
    <row r="17" spans="1:27" ht="18" customHeight="1" x14ac:dyDescent="0.25">
      <c r="A17" s="70" t="s">
        <v>88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1"/>
    </row>
    <row r="18" spans="1:27" ht="7.35" customHeight="1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1"/>
    </row>
    <row r="19" spans="1:27" ht="32.25" customHeight="1" x14ac:dyDescent="0.25">
      <c r="A19" s="111"/>
      <c r="B19" s="168"/>
      <c r="C19" s="279" t="s">
        <v>94</v>
      </c>
      <c r="D19" s="279"/>
      <c r="E19" s="279"/>
      <c r="F19" s="279"/>
      <c r="G19" s="279" t="s">
        <v>89</v>
      </c>
      <c r="H19" s="279"/>
      <c r="I19" s="279"/>
      <c r="J19" s="279"/>
      <c r="K19" s="279" t="s">
        <v>90</v>
      </c>
      <c r="L19" s="279"/>
      <c r="M19" s="279"/>
      <c r="N19" s="279"/>
      <c r="O19" s="279" t="s">
        <v>91</v>
      </c>
      <c r="P19" s="279"/>
      <c r="Q19" s="279"/>
      <c r="R19" s="279"/>
      <c r="S19" s="279" t="s">
        <v>92</v>
      </c>
      <c r="T19" s="279"/>
      <c r="U19" s="279"/>
      <c r="V19" s="279"/>
      <c r="W19" s="279"/>
      <c r="X19" s="279"/>
      <c r="Y19" s="199"/>
      <c r="Z19" s="111"/>
      <c r="AA19" s="1"/>
    </row>
    <row r="20" spans="1:27" ht="11.45" customHeight="1" x14ac:dyDescent="0.25">
      <c r="A20" s="111"/>
      <c r="B20" s="168"/>
      <c r="C20" s="260">
        <v>5</v>
      </c>
      <c r="D20" s="261"/>
      <c r="E20" s="277" t="s">
        <v>93</v>
      </c>
      <c r="F20" s="278"/>
      <c r="G20" s="270">
        <v>10.92</v>
      </c>
      <c r="H20" s="270"/>
      <c r="I20" s="270"/>
      <c r="J20" s="270"/>
      <c r="K20" s="270" t="str">
        <f>IF(AND(ISNUMBER($S$9),ISNUMBER($S$10)),$S$10*G20*$S$9,"")</f>
        <v/>
      </c>
      <c r="L20" s="270"/>
      <c r="M20" s="270"/>
      <c r="N20" s="270"/>
      <c r="O20" s="270" t="str">
        <f>IF(AND(ISNUMBER($S$11),ISNUMBER(K20)),K20-$S$11,"")</f>
        <v/>
      </c>
      <c r="P20" s="270"/>
      <c r="Q20" s="270"/>
      <c r="R20" s="270"/>
      <c r="S20" s="274" t="str">
        <f t="shared" ref="S20:S26" si="0">IF(ISNUMBER(O20),((C20/60)*O20)/12.1,"")</f>
        <v/>
      </c>
      <c r="T20" s="274"/>
      <c r="U20" s="274"/>
      <c r="V20" s="274"/>
      <c r="W20" s="274"/>
      <c r="X20" s="274"/>
      <c r="Y20" s="17" t="str">
        <f>IF(S20="","",IF($S20=$S$15,"←",""))</f>
        <v/>
      </c>
      <c r="Z20" s="111"/>
      <c r="AA20" s="1"/>
    </row>
    <row r="21" spans="1:27" ht="11.45" customHeight="1" x14ac:dyDescent="0.25">
      <c r="A21" s="111"/>
      <c r="B21" s="168"/>
      <c r="C21" s="260">
        <v>10</v>
      </c>
      <c r="D21" s="261"/>
      <c r="E21" s="277" t="s">
        <v>93</v>
      </c>
      <c r="F21" s="278"/>
      <c r="G21" s="270">
        <v>10.02</v>
      </c>
      <c r="H21" s="270"/>
      <c r="I21" s="270"/>
      <c r="J21" s="270"/>
      <c r="K21" s="270" t="str">
        <f t="shared" ref="K21:K41" si="1">IF(AND(ISNUMBER($S$9),ISNUMBER($S$10)),$S$10*G21*$S$9,"")</f>
        <v/>
      </c>
      <c r="L21" s="270"/>
      <c r="M21" s="270"/>
      <c r="N21" s="270"/>
      <c r="O21" s="270" t="str">
        <f t="shared" ref="O21:O41" si="2">IF(AND(ISNUMBER($S$11),ISNUMBER(K21)),K21-$S$11,"")</f>
        <v/>
      </c>
      <c r="P21" s="270"/>
      <c r="Q21" s="270"/>
      <c r="R21" s="270"/>
      <c r="S21" s="274" t="str">
        <f t="shared" si="0"/>
        <v/>
      </c>
      <c r="T21" s="274"/>
      <c r="U21" s="274"/>
      <c r="V21" s="274"/>
      <c r="W21" s="274"/>
      <c r="X21" s="274"/>
      <c r="Y21" s="17" t="str">
        <f t="shared" ref="Y21:Y41" si="3">IF(S21="","",IF($S21=$S$15,"←",""))</f>
        <v/>
      </c>
      <c r="Z21" s="111"/>
      <c r="AA21" s="1"/>
    </row>
    <row r="22" spans="1:27" ht="11.45" customHeight="1" x14ac:dyDescent="0.25">
      <c r="A22" s="111"/>
      <c r="B22" s="168"/>
      <c r="C22" s="260">
        <v>15</v>
      </c>
      <c r="D22" s="261"/>
      <c r="E22" s="277" t="s">
        <v>93</v>
      </c>
      <c r="F22" s="278"/>
      <c r="G22" s="270">
        <v>8.1999999999999993</v>
      </c>
      <c r="H22" s="270"/>
      <c r="I22" s="270"/>
      <c r="J22" s="270"/>
      <c r="K22" s="270" t="str">
        <f t="shared" si="1"/>
        <v/>
      </c>
      <c r="L22" s="270"/>
      <c r="M22" s="270"/>
      <c r="N22" s="270"/>
      <c r="O22" s="270" t="str">
        <f t="shared" si="2"/>
        <v/>
      </c>
      <c r="P22" s="270"/>
      <c r="Q22" s="270"/>
      <c r="R22" s="270"/>
      <c r="S22" s="274" t="str">
        <f t="shared" si="0"/>
        <v/>
      </c>
      <c r="T22" s="274"/>
      <c r="U22" s="274"/>
      <c r="V22" s="274"/>
      <c r="W22" s="274"/>
      <c r="X22" s="274"/>
      <c r="Y22" s="17" t="str">
        <f t="shared" si="3"/>
        <v/>
      </c>
      <c r="Z22" s="111"/>
      <c r="AA22" s="1"/>
    </row>
    <row r="23" spans="1:27" ht="11.45" customHeight="1" x14ac:dyDescent="0.25">
      <c r="A23" s="111"/>
      <c r="B23" s="168"/>
      <c r="C23" s="260">
        <v>20</v>
      </c>
      <c r="D23" s="261"/>
      <c r="E23" s="277" t="s">
        <v>93</v>
      </c>
      <c r="F23" s="278"/>
      <c r="G23" s="270">
        <v>7.05</v>
      </c>
      <c r="H23" s="270"/>
      <c r="I23" s="270"/>
      <c r="J23" s="270"/>
      <c r="K23" s="270" t="str">
        <f t="shared" si="1"/>
        <v/>
      </c>
      <c r="L23" s="270"/>
      <c r="M23" s="270"/>
      <c r="N23" s="270"/>
      <c r="O23" s="270" t="str">
        <f t="shared" si="2"/>
        <v/>
      </c>
      <c r="P23" s="270"/>
      <c r="Q23" s="270"/>
      <c r="R23" s="270"/>
      <c r="S23" s="274" t="str">
        <f t="shared" si="0"/>
        <v/>
      </c>
      <c r="T23" s="274"/>
      <c r="U23" s="274"/>
      <c r="V23" s="274"/>
      <c r="W23" s="274"/>
      <c r="X23" s="274"/>
      <c r="Y23" s="17" t="str">
        <f t="shared" si="3"/>
        <v/>
      </c>
      <c r="Z23" s="111"/>
      <c r="AA23" s="1"/>
    </row>
    <row r="24" spans="1:27" ht="11.45" customHeight="1" x14ac:dyDescent="0.25">
      <c r="A24" s="111"/>
      <c r="B24" s="168"/>
      <c r="C24" s="260">
        <v>30</v>
      </c>
      <c r="D24" s="261"/>
      <c r="E24" s="277" t="s">
        <v>93</v>
      </c>
      <c r="F24" s="278"/>
      <c r="G24" s="270">
        <v>5.6</v>
      </c>
      <c r="H24" s="270"/>
      <c r="I24" s="270"/>
      <c r="J24" s="270"/>
      <c r="K24" s="270" t="str">
        <f t="shared" si="1"/>
        <v/>
      </c>
      <c r="L24" s="270"/>
      <c r="M24" s="270"/>
      <c r="N24" s="270"/>
      <c r="O24" s="270" t="str">
        <f t="shared" si="2"/>
        <v/>
      </c>
      <c r="P24" s="270"/>
      <c r="Q24" s="270"/>
      <c r="R24" s="270"/>
      <c r="S24" s="274" t="str">
        <f t="shared" si="0"/>
        <v/>
      </c>
      <c r="T24" s="274"/>
      <c r="U24" s="274"/>
      <c r="V24" s="274"/>
      <c r="W24" s="274"/>
      <c r="X24" s="274"/>
      <c r="Y24" s="17" t="str">
        <f t="shared" si="3"/>
        <v/>
      </c>
      <c r="Z24" s="111"/>
      <c r="AA24" s="1"/>
    </row>
    <row r="25" spans="1:27" ht="11.45" customHeight="1" x14ac:dyDescent="0.25">
      <c r="A25" s="111"/>
      <c r="B25" s="168"/>
      <c r="C25" s="260">
        <v>40</v>
      </c>
      <c r="D25" s="261"/>
      <c r="E25" s="277" t="s">
        <v>93</v>
      </c>
      <c r="F25" s="278"/>
      <c r="G25" s="270">
        <v>4.66</v>
      </c>
      <c r="H25" s="270"/>
      <c r="I25" s="270"/>
      <c r="J25" s="270"/>
      <c r="K25" s="270" t="str">
        <f t="shared" si="1"/>
        <v/>
      </c>
      <c r="L25" s="270"/>
      <c r="M25" s="270"/>
      <c r="N25" s="270"/>
      <c r="O25" s="270" t="str">
        <f t="shared" si="2"/>
        <v/>
      </c>
      <c r="P25" s="270"/>
      <c r="Q25" s="270"/>
      <c r="R25" s="270"/>
      <c r="S25" s="274" t="str">
        <f t="shared" si="0"/>
        <v/>
      </c>
      <c r="T25" s="274"/>
      <c r="U25" s="274"/>
      <c r="V25" s="274"/>
      <c r="W25" s="274"/>
      <c r="X25" s="274"/>
      <c r="Y25" s="17" t="str">
        <f t="shared" si="3"/>
        <v/>
      </c>
      <c r="Z25" s="111"/>
      <c r="AA25" s="1"/>
    </row>
    <row r="26" spans="1:27" ht="11.45" customHeight="1" x14ac:dyDescent="0.25">
      <c r="A26" s="111"/>
      <c r="B26" s="168"/>
      <c r="C26" s="260">
        <v>50</v>
      </c>
      <c r="D26" s="261"/>
      <c r="E26" s="277" t="s">
        <v>93</v>
      </c>
      <c r="F26" s="278"/>
      <c r="G26" s="270">
        <v>4</v>
      </c>
      <c r="H26" s="270"/>
      <c r="I26" s="270"/>
      <c r="J26" s="270"/>
      <c r="K26" s="270" t="str">
        <f t="shared" si="1"/>
        <v/>
      </c>
      <c r="L26" s="270"/>
      <c r="M26" s="270"/>
      <c r="N26" s="270"/>
      <c r="O26" s="270" t="str">
        <f t="shared" si="2"/>
        <v/>
      </c>
      <c r="P26" s="270"/>
      <c r="Q26" s="270"/>
      <c r="R26" s="270"/>
      <c r="S26" s="274" t="str">
        <f t="shared" si="0"/>
        <v/>
      </c>
      <c r="T26" s="274"/>
      <c r="U26" s="274"/>
      <c r="V26" s="274"/>
      <c r="W26" s="274"/>
      <c r="X26" s="274"/>
      <c r="Y26" s="17" t="str">
        <f t="shared" si="3"/>
        <v/>
      </c>
      <c r="Z26" s="111"/>
      <c r="AA26" s="1"/>
    </row>
    <row r="27" spans="1:27" ht="11.45" customHeight="1" x14ac:dyDescent="0.25">
      <c r="A27" s="111"/>
      <c r="B27" s="168"/>
      <c r="C27" s="260">
        <v>1</v>
      </c>
      <c r="D27" s="261"/>
      <c r="E27" s="262" t="s">
        <v>59</v>
      </c>
      <c r="F27" s="263"/>
      <c r="G27" s="270">
        <v>3.56</v>
      </c>
      <c r="H27" s="270"/>
      <c r="I27" s="270"/>
      <c r="J27" s="270"/>
      <c r="K27" s="270" t="str">
        <f t="shared" si="1"/>
        <v/>
      </c>
      <c r="L27" s="270"/>
      <c r="M27" s="270"/>
      <c r="N27" s="270"/>
      <c r="O27" s="270" t="str">
        <f t="shared" si="2"/>
        <v/>
      </c>
      <c r="P27" s="270"/>
      <c r="Q27" s="270"/>
      <c r="R27" s="270"/>
      <c r="S27" s="274" t="str">
        <f t="shared" ref="S27:S41" si="4">IF(ISNUMBER(O27),(C27*O27)/12.1,"")</f>
        <v/>
      </c>
      <c r="T27" s="274"/>
      <c r="U27" s="274"/>
      <c r="V27" s="274"/>
      <c r="W27" s="274"/>
      <c r="X27" s="274"/>
      <c r="Y27" s="17" t="str">
        <f t="shared" si="3"/>
        <v/>
      </c>
      <c r="Z27" s="111"/>
      <c r="AA27" s="1"/>
    </row>
    <row r="28" spans="1:27" ht="11.45" customHeight="1" x14ac:dyDescent="0.25">
      <c r="A28" s="111"/>
      <c r="B28" s="168"/>
      <c r="C28" s="275">
        <v>1.5</v>
      </c>
      <c r="D28" s="276"/>
      <c r="E28" s="262" t="s">
        <v>59</v>
      </c>
      <c r="F28" s="263"/>
      <c r="G28" s="270">
        <v>2.68</v>
      </c>
      <c r="H28" s="270"/>
      <c r="I28" s="270"/>
      <c r="J28" s="270"/>
      <c r="K28" s="270" t="str">
        <f t="shared" si="1"/>
        <v/>
      </c>
      <c r="L28" s="270"/>
      <c r="M28" s="270"/>
      <c r="N28" s="270"/>
      <c r="O28" s="270" t="str">
        <f t="shared" si="2"/>
        <v/>
      </c>
      <c r="P28" s="270"/>
      <c r="Q28" s="270"/>
      <c r="R28" s="270"/>
      <c r="S28" s="274" t="str">
        <f t="shared" si="4"/>
        <v/>
      </c>
      <c r="T28" s="274"/>
      <c r="U28" s="274"/>
      <c r="V28" s="274"/>
      <c r="W28" s="274"/>
      <c r="X28" s="274"/>
      <c r="Y28" s="17" t="str">
        <f t="shared" si="3"/>
        <v/>
      </c>
      <c r="Z28" s="111"/>
      <c r="AA28" s="1"/>
    </row>
    <row r="29" spans="1:27" ht="11.45" customHeight="1" x14ac:dyDescent="0.25">
      <c r="A29" s="111"/>
      <c r="B29" s="168"/>
      <c r="C29" s="260">
        <v>2</v>
      </c>
      <c r="D29" s="261"/>
      <c r="E29" s="262" t="s">
        <v>59</v>
      </c>
      <c r="F29" s="263"/>
      <c r="G29" s="270">
        <v>2.2400000000000002</v>
      </c>
      <c r="H29" s="270"/>
      <c r="I29" s="270"/>
      <c r="J29" s="270"/>
      <c r="K29" s="270" t="str">
        <f t="shared" si="1"/>
        <v/>
      </c>
      <c r="L29" s="270"/>
      <c r="M29" s="270"/>
      <c r="N29" s="270"/>
      <c r="O29" s="270" t="str">
        <f t="shared" si="2"/>
        <v/>
      </c>
      <c r="P29" s="270"/>
      <c r="Q29" s="270"/>
      <c r="R29" s="270"/>
      <c r="S29" s="274" t="str">
        <f t="shared" si="4"/>
        <v/>
      </c>
      <c r="T29" s="274"/>
      <c r="U29" s="274"/>
      <c r="V29" s="274"/>
      <c r="W29" s="274"/>
      <c r="X29" s="274"/>
      <c r="Y29" s="17" t="str">
        <f t="shared" si="3"/>
        <v/>
      </c>
      <c r="Z29" s="111"/>
    </row>
    <row r="30" spans="1:27" ht="11.45" customHeight="1" x14ac:dyDescent="0.25">
      <c r="A30" s="111"/>
      <c r="B30" s="168"/>
      <c r="C30" s="260">
        <v>3</v>
      </c>
      <c r="D30" s="261"/>
      <c r="E30" s="262" t="s">
        <v>59</v>
      </c>
      <c r="F30" s="263"/>
      <c r="G30" s="270">
        <v>1.62</v>
      </c>
      <c r="H30" s="270"/>
      <c r="I30" s="270"/>
      <c r="J30" s="270"/>
      <c r="K30" s="270" t="str">
        <f t="shared" si="1"/>
        <v/>
      </c>
      <c r="L30" s="270"/>
      <c r="M30" s="270"/>
      <c r="N30" s="270"/>
      <c r="O30" s="270" t="str">
        <f t="shared" si="2"/>
        <v/>
      </c>
      <c r="P30" s="270"/>
      <c r="Q30" s="270"/>
      <c r="R30" s="270"/>
      <c r="S30" s="274" t="str">
        <f t="shared" si="4"/>
        <v/>
      </c>
      <c r="T30" s="274"/>
      <c r="U30" s="274"/>
      <c r="V30" s="274"/>
      <c r="W30" s="274"/>
      <c r="X30" s="274"/>
      <c r="Y30" s="17" t="str">
        <f t="shared" si="3"/>
        <v/>
      </c>
      <c r="Z30" s="111"/>
    </row>
    <row r="31" spans="1:27" ht="11.45" customHeight="1" x14ac:dyDescent="0.25">
      <c r="A31" s="111"/>
      <c r="B31" s="168"/>
      <c r="C31" s="260">
        <v>4</v>
      </c>
      <c r="D31" s="261"/>
      <c r="E31" s="262" t="s">
        <v>59</v>
      </c>
      <c r="F31" s="263"/>
      <c r="G31" s="270">
        <v>1.31</v>
      </c>
      <c r="H31" s="270"/>
      <c r="I31" s="270"/>
      <c r="J31" s="270"/>
      <c r="K31" s="270" t="str">
        <f t="shared" si="1"/>
        <v/>
      </c>
      <c r="L31" s="270"/>
      <c r="M31" s="270"/>
      <c r="N31" s="270"/>
      <c r="O31" s="270" t="str">
        <f t="shared" si="2"/>
        <v/>
      </c>
      <c r="P31" s="270"/>
      <c r="Q31" s="270"/>
      <c r="R31" s="270"/>
      <c r="S31" s="274" t="str">
        <f t="shared" si="4"/>
        <v/>
      </c>
      <c r="T31" s="274"/>
      <c r="U31" s="274"/>
      <c r="V31" s="274"/>
      <c r="W31" s="274"/>
      <c r="X31" s="274"/>
      <c r="Y31" s="17" t="str">
        <f t="shared" si="3"/>
        <v/>
      </c>
      <c r="Z31" s="111"/>
    </row>
    <row r="32" spans="1:27" ht="11.45" customHeight="1" x14ac:dyDescent="0.25">
      <c r="A32" s="111"/>
      <c r="B32" s="168"/>
      <c r="C32" s="260">
        <v>5</v>
      </c>
      <c r="D32" s="261"/>
      <c r="E32" s="262" t="s">
        <v>59</v>
      </c>
      <c r="F32" s="263"/>
      <c r="G32" s="270">
        <v>1.1100000000000001</v>
      </c>
      <c r="H32" s="270"/>
      <c r="I32" s="270"/>
      <c r="J32" s="270"/>
      <c r="K32" s="270" t="str">
        <f t="shared" si="1"/>
        <v/>
      </c>
      <c r="L32" s="270"/>
      <c r="M32" s="270"/>
      <c r="N32" s="270"/>
      <c r="O32" s="270" t="str">
        <f t="shared" si="2"/>
        <v/>
      </c>
      <c r="P32" s="270"/>
      <c r="Q32" s="270"/>
      <c r="R32" s="270"/>
      <c r="S32" s="274" t="str">
        <f t="shared" si="4"/>
        <v/>
      </c>
      <c r="T32" s="274"/>
      <c r="U32" s="274"/>
      <c r="V32" s="274"/>
      <c r="W32" s="274"/>
      <c r="X32" s="274"/>
      <c r="Y32" s="17" t="str">
        <f t="shared" si="3"/>
        <v/>
      </c>
      <c r="Z32" s="111"/>
    </row>
    <row r="33" spans="1:26" ht="11.45" customHeight="1" x14ac:dyDescent="0.25">
      <c r="A33" s="111"/>
      <c r="B33" s="168"/>
      <c r="C33" s="260">
        <v>6</v>
      </c>
      <c r="D33" s="261"/>
      <c r="E33" s="262" t="s">
        <v>59</v>
      </c>
      <c r="F33" s="263"/>
      <c r="G33" s="270">
        <v>0.95</v>
      </c>
      <c r="H33" s="270"/>
      <c r="I33" s="270"/>
      <c r="J33" s="270"/>
      <c r="K33" s="270" t="str">
        <f t="shared" si="1"/>
        <v/>
      </c>
      <c r="L33" s="270"/>
      <c r="M33" s="270"/>
      <c r="N33" s="270"/>
      <c r="O33" s="270" t="str">
        <f t="shared" si="2"/>
        <v/>
      </c>
      <c r="P33" s="270"/>
      <c r="Q33" s="270"/>
      <c r="R33" s="270"/>
      <c r="S33" s="274" t="str">
        <f t="shared" si="4"/>
        <v/>
      </c>
      <c r="T33" s="274"/>
      <c r="U33" s="274"/>
      <c r="V33" s="274"/>
      <c r="W33" s="274"/>
      <c r="X33" s="274"/>
      <c r="Y33" s="17" t="str">
        <f t="shared" si="3"/>
        <v/>
      </c>
      <c r="Z33" s="111"/>
    </row>
    <row r="34" spans="1:26" ht="11.45" customHeight="1" x14ac:dyDescent="0.25">
      <c r="A34" s="111"/>
      <c r="B34" s="168"/>
      <c r="C34" s="260">
        <v>7</v>
      </c>
      <c r="D34" s="261"/>
      <c r="E34" s="262" t="s">
        <v>59</v>
      </c>
      <c r="F34" s="263"/>
      <c r="G34" s="270">
        <v>0.86</v>
      </c>
      <c r="H34" s="270"/>
      <c r="I34" s="270"/>
      <c r="J34" s="270"/>
      <c r="K34" s="270" t="str">
        <f t="shared" si="1"/>
        <v/>
      </c>
      <c r="L34" s="270"/>
      <c r="M34" s="270"/>
      <c r="N34" s="270"/>
      <c r="O34" s="270" t="str">
        <f t="shared" si="2"/>
        <v/>
      </c>
      <c r="P34" s="270"/>
      <c r="Q34" s="270"/>
      <c r="R34" s="270"/>
      <c r="S34" s="274" t="str">
        <f t="shared" si="4"/>
        <v/>
      </c>
      <c r="T34" s="274"/>
      <c r="U34" s="274"/>
      <c r="V34" s="274"/>
      <c r="W34" s="274"/>
      <c r="X34" s="274"/>
      <c r="Y34" s="17" t="str">
        <f t="shared" si="3"/>
        <v/>
      </c>
      <c r="Z34" s="111"/>
    </row>
    <row r="35" spans="1:26" ht="11.45" customHeight="1" x14ac:dyDescent="0.25">
      <c r="A35" s="111"/>
      <c r="B35" s="168"/>
      <c r="C35" s="260">
        <v>8</v>
      </c>
      <c r="D35" s="261"/>
      <c r="E35" s="262" t="s">
        <v>59</v>
      </c>
      <c r="F35" s="263"/>
      <c r="G35" s="270">
        <v>0.77</v>
      </c>
      <c r="H35" s="270"/>
      <c r="I35" s="270"/>
      <c r="J35" s="270"/>
      <c r="K35" s="270" t="str">
        <f t="shared" si="1"/>
        <v/>
      </c>
      <c r="L35" s="270"/>
      <c r="M35" s="270"/>
      <c r="N35" s="270"/>
      <c r="O35" s="270" t="str">
        <f t="shared" si="2"/>
        <v/>
      </c>
      <c r="P35" s="270"/>
      <c r="Q35" s="270"/>
      <c r="R35" s="270"/>
      <c r="S35" s="271" t="str">
        <f t="shared" si="4"/>
        <v/>
      </c>
      <c r="T35" s="272"/>
      <c r="U35" s="272"/>
      <c r="V35" s="272"/>
      <c r="W35" s="272"/>
      <c r="X35" s="273"/>
      <c r="Y35" s="17" t="str">
        <f t="shared" si="3"/>
        <v/>
      </c>
      <c r="Z35" s="111"/>
    </row>
    <row r="36" spans="1:26" ht="11.45" customHeight="1" x14ac:dyDescent="0.25">
      <c r="A36" s="111"/>
      <c r="B36" s="168"/>
      <c r="C36" s="260">
        <v>9</v>
      </c>
      <c r="D36" s="261"/>
      <c r="E36" s="262" t="s">
        <v>59</v>
      </c>
      <c r="F36" s="263"/>
      <c r="G36" s="270">
        <v>0.7</v>
      </c>
      <c r="H36" s="270"/>
      <c r="I36" s="270"/>
      <c r="J36" s="270"/>
      <c r="K36" s="270" t="str">
        <f t="shared" si="1"/>
        <v/>
      </c>
      <c r="L36" s="270"/>
      <c r="M36" s="270"/>
      <c r="N36" s="270"/>
      <c r="O36" s="270" t="str">
        <f t="shared" si="2"/>
        <v/>
      </c>
      <c r="P36" s="270"/>
      <c r="Q36" s="270"/>
      <c r="R36" s="270"/>
      <c r="S36" s="271" t="str">
        <f t="shared" si="4"/>
        <v/>
      </c>
      <c r="T36" s="272"/>
      <c r="U36" s="272"/>
      <c r="V36" s="272"/>
      <c r="W36" s="272"/>
      <c r="X36" s="273"/>
      <c r="Y36" s="17" t="str">
        <f t="shared" si="3"/>
        <v/>
      </c>
      <c r="Z36" s="111"/>
    </row>
    <row r="37" spans="1:26" ht="11.45" customHeight="1" x14ac:dyDescent="0.25">
      <c r="A37" s="111"/>
      <c r="B37" s="168"/>
      <c r="C37" s="260">
        <v>10</v>
      </c>
      <c r="D37" s="261"/>
      <c r="E37" s="262" t="s">
        <v>59</v>
      </c>
      <c r="F37" s="263"/>
      <c r="G37" s="270">
        <v>0.64</v>
      </c>
      <c r="H37" s="270"/>
      <c r="I37" s="270"/>
      <c r="J37" s="270"/>
      <c r="K37" s="270" t="str">
        <f t="shared" si="1"/>
        <v/>
      </c>
      <c r="L37" s="270"/>
      <c r="M37" s="270"/>
      <c r="N37" s="270"/>
      <c r="O37" s="270" t="str">
        <f t="shared" si="2"/>
        <v/>
      </c>
      <c r="P37" s="270"/>
      <c r="Q37" s="270"/>
      <c r="R37" s="270"/>
      <c r="S37" s="271" t="str">
        <f t="shared" si="4"/>
        <v/>
      </c>
      <c r="T37" s="272"/>
      <c r="U37" s="272"/>
      <c r="V37" s="272"/>
      <c r="W37" s="272"/>
      <c r="X37" s="273"/>
      <c r="Y37" s="17" t="str">
        <f t="shared" si="3"/>
        <v/>
      </c>
      <c r="Z37" s="111"/>
    </row>
    <row r="38" spans="1:26" ht="11.45" customHeight="1" x14ac:dyDescent="0.25">
      <c r="A38" s="111"/>
      <c r="B38" s="168"/>
      <c r="C38" s="260">
        <v>11</v>
      </c>
      <c r="D38" s="261"/>
      <c r="E38" s="262" t="s">
        <v>59</v>
      </c>
      <c r="F38" s="263"/>
      <c r="G38" s="270">
        <v>0.59</v>
      </c>
      <c r="H38" s="270"/>
      <c r="I38" s="270"/>
      <c r="J38" s="270"/>
      <c r="K38" s="270" t="str">
        <f t="shared" si="1"/>
        <v/>
      </c>
      <c r="L38" s="270"/>
      <c r="M38" s="270"/>
      <c r="N38" s="270"/>
      <c r="O38" s="270" t="str">
        <f t="shared" si="2"/>
        <v/>
      </c>
      <c r="P38" s="270"/>
      <c r="Q38" s="270"/>
      <c r="R38" s="270"/>
      <c r="S38" s="271" t="str">
        <f t="shared" si="4"/>
        <v/>
      </c>
      <c r="T38" s="272"/>
      <c r="U38" s="272"/>
      <c r="V38" s="272"/>
      <c r="W38" s="272"/>
      <c r="X38" s="273"/>
      <c r="Y38" s="17" t="str">
        <f t="shared" si="3"/>
        <v/>
      </c>
      <c r="Z38" s="111"/>
    </row>
    <row r="39" spans="1:26" ht="11.45" customHeight="1" x14ac:dyDescent="0.25">
      <c r="A39" s="111"/>
      <c r="B39" s="168"/>
      <c r="C39" s="260">
        <v>12</v>
      </c>
      <c r="D39" s="261"/>
      <c r="E39" s="262" t="s">
        <v>59</v>
      </c>
      <c r="F39" s="263"/>
      <c r="G39" s="270">
        <v>0.55000000000000004</v>
      </c>
      <c r="H39" s="270"/>
      <c r="I39" s="270"/>
      <c r="J39" s="270"/>
      <c r="K39" s="270" t="str">
        <f t="shared" si="1"/>
        <v/>
      </c>
      <c r="L39" s="270"/>
      <c r="M39" s="270"/>
      <c r="N39" s="270"/>
      <c r="O39" s="270" t="str">
        <f t="shared" si="2"/>
        <v/>
      </c>
      <c r="P39" s="270"/>
      <c r="Q39" s="270"/>
      <c r="R39" s="270"/>
      <c r="S39" s="271" t="str">
        <f t="shared" si="4"/>
        <v/>
      </c>
      <c r="T39" s="272"/>
      <c r="U39" s="272"/>
      <c r="V39" s="272"/>
      <c r="W39" s="272"/>
      <c r="X39" s="273"/>
      <c r="Y39" s="17" t="str">
        <f t="shared" si="3"/>
        <v/>
      </c>
      <c r="Z39" s="111"/>
    </row>
    <row r="40" spans="1:26" ht="11.45" customHeight="1" x14ac:dyDescent="0.25">
      <c r="A40" s="111"/>
      <c r="B40" s="168"/>
      <c r="C40" s="260">
        <v>18</v>
      </c>
      <c r="D40" s="261"/>
      <c r="E40" s="262" t="s">
        <v>59</v>
      </c>
      <c r="F40" s="263"/>
      <c r="G40" s="270">
        <v>0.39</v>
      </c>
      <c r="H40" s="270"/>
      <c r="I40" s="270"/>
      <c r="J40" s="270"/>
      <c r="K40" s="270" t="str">
        <f t="shared" si="1"/>
        <v/>
      </c>
      <c r="L40" s="270"/>
      <c r="M40" s="270"/>
      <c r="N40" s="270"/>
      <c r="O40" s="270" t="str">
        <f t="shared" si="2"/>
        <v/>
      </c>
      <c r="P40" s="270"/>
      <c r="Q40" s="270"/>
      <c r="R40" s="270"/>
      <c r="S40" s="271" t="str">
        <f t="shared" si="4"/>
        <v/>
      </c>
      <c r="T40" s="272"/>
      <c r="U40" s="272"/>
      <c r="V40" s="272"/>
      <c r="W40" s="272"/>
      <c r="X40" s="273"/>
      <c r="Y40" s="17" t="str">
        <f t="shared" si="3"/>
        <v/>
      </c>
      <c r="Z40" s="111"/>
    </row>
    <row r="41" spans="1:26" ht="11.45" customHeight="1" x14ac:dyDescent="0.25">
      <c r="A41" s="111"/>
      <c r="B41" s="168"/>
      <c r="C41" s="260">
        <v>24</v>
      </c>
      <c r="D41" s="261"/>
      <c r="E41" s="262" t="s">
        <v>59</v>
      </c>
      <c r="F41" s="263"/>
      <c r="G41" s="270">
        <v>0.32</v>
      </c>
      <c r="H41" s="270"/>
      <c r="I41" s="270"/>
      <c r="J41" s="270"/>
      <c r="K41" s="270" t="str">
        <f t="shared" si="1"/>
        <v/>
      </c>
      <c r="L41" s="270"/>
      <c r="M41" s="270"/>
      <c r="N41" s="270"/>
      <c r="O41" s="270" t="str">
        <f t="shared" si="2"/>
        <v/>
      </c>
      <c r="P41" s="270"/>
      <c r="Q41" s="270"/>
      <c r="R41" s="270"/>
      <c r="S41" s="271" t="str">
        <f t="shared" si="4"/>
        <v/>
      </c>
      <c r="T41" s="272"/>
      <c r="U41" s="272"/>
      <c r="V41" s="272"/>
      <c r="W41" s="272"/>
      <c r="X41" s="273"/>
      <c r="Y41" s="17" t="str">
        <f t="shared" si="3"/>
        <v/>
      </c>
      <c r="Z41" s="111"/>
    </row>
    <row r="42" spans="1:26" ht="11.45" customHeight="1" x14ac:dyDescent="0.25">
      <c r="A42" s="111"/>
      <c r="B42" s="111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111"/>
    </row>
    <row r="43" spans="1:26" ht="11.45" customHeight="1" x14ac:dyDescent="0.25">
      <c r="A43" s="111"/>
      <c r="B43" s="111"/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111"/>
    </row>
    <row r="44" spans="1:26" ht="11.45" customHeight="1" x14ac:dyDescent="0.25">
      <c r="A44" s="111"/>
      <c r="B44" s="111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111"/>
    </row>
    <row r="45" spans="1:26" ht="11.45" customHeight="1" x14ac:dyDescent="0.25">
      <c r="A45" s="111"/>
      <c r="B45" s="111"/>
      <c r="C45" s="259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111"/>
    </row>
    <row r="46" spans="1:26" ht="11.45" customHeight="1" x14ac:dyDescent="0.25">
      <c r="A46" s="111"/>
      <c r="B46" s="111"/>
      <c r="C46" s="259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111"/>
    </row>
    <row r="47" spans="1:26" ht="11.45" customHeight="1" x14ac:dyDescent="0.25">
      <c r="A47" s="111"/>
      <c r="B47" s="111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111"/>
    </row>
    <row r="48" spans="1:26" ht="11.45" customHeight="1" x14ac:dyDescent="0.25">
      <c r="A48" s="111"/>
      <c r="B48" s="111"/>
      <c r="C48" s="259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X48" s="259"/>
      <c r="Y48" s="259"/>
      <c r="Z48" s="111"/>
    </row>
    <row r="49" spans="1:26" ht="11.45" customHeight="1" x14ac:dyDescent="0.25">
      <c r="A49" s="111"/>
      <c r="B49" s="111"/>
      <c r="C49" s="259"/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59"/>
      <c r="W49" s="259"/>
      <c r="X49" s="259"/>
      <c r="Y49" s="259"/>
      <c r="Z49" s="111"/>
    </row>
    <row r="50" spans="1:26" ht="18" customHeight="1" x14ac:dyDescent="0.25">
      <c r="C50" s="18"/>
      <c r="D50" s="18"/>
      <c r="E50" s="18"/>
      <c r="F50" s="18"/>
    </row>
    <row r="51" spans="1:26" ht="18" customHeight="1" x14ac:dyDescent="0.25">
      <c r="C51" s="18"/>
      <c r="D51" s="18"/>
      <c r="E51" s="18"/>
      <c r="F51" s="18"/>
    </row>
  </sheetData>
  <sheetProtection algorithmName="SHA-512" hashValue="kwtywbOmhvHlGjN+fiNe5chF07es9Sm0qIhyz1ESuTpSkcL7fgbo7ewUuynHD5evjlLvbLs97uxVQ0oy4J0Eiw==" saltValue="kDHXvb5lrbAvdiWp+4JjdA==" spinCount="100000" sheet="1" selectLockedCells="1"/>
  <mergeCells count="178">
    <mergeCell ref="Y15:Z15"/>
    <mergeCell ref="A16:Z16"/>
    <mergeCell ref="A17:Z17"/>
    <mergeCell ref="A1:Z1"/>
    <mergeCell ref="A2:Z2"/>
    <mergeCell ref="D3:P3"/>
    <mergeCell ref="Q3:U3"/>
    <mergeCell ref="V3:Z3"/>
    <mergeCell ref="A4:Z4"/>
    <mergeCell ref="D5:P5"/>
    <mergeCell ref="Q5:U5"/>
    <mergeCell ref="V5:Z5"/>
    <mergeCell ref="A6:Z6"/>
    <mergeCell ref="A7:Z7"/>
    <mergeCell ref="A8:Z8"/>
    <mergeCell ref="A5:C5"/>
    <mergeCell ref="A3:C3"/>
    <mergeCell ref="A18:Z18"/>
    <mergeCell ref="A19:B49"/>
    <mergeCell ref="C19:F19"/>
    <mergeCell ref="G19:J19"/>
    <mergeCell ref="K19:N19"/>
    <mergeCell ref="Y9:Z9"/>
    <mergeCell ref="C10:O10"/>
    <mergeCell ref="P10:R10"/>
    <mergeCell ref="S10:X10"/>
    <mergeCell ref="Y10:Z10"/>
    <mergeCell ref="C11:O11"/>
    <mergeCell ref="P11:R11"/>
    <mergeCell ref="S11:X11"/>
    <mergeCell ref="Y11:Z11"/>
    <mergeCell ref="A12:Z12"/>
    <mergeCell ref="A13:Z13"/>
    <mergeCell ref="A14:Z14"/>
    <mergeCell ref="A9:A11"/>
    <mergeCell ref="C9:O9"/>
    <mergeCell ref="P9:R9"/>
    <mergeCell ref="S9:X9"/>
    <mergeCell ref="C15:O15"/>
    <mergeCell ref="P15:R15"/>
    <mergeCell ref="S15:X15"/>
    <mergeCell ref="O19:R19"/>
    <mergeCell ref="S19:X19"/>
    <mergeCell ref="Y19:Z19"/>
    <mergeCell ref="G20:J20"/>
    <mergeCell ref="G22:J22"/>
    <mergeCell ref="K22:N22"/>
    <mergeCell ref="O22:R22"/>
    <mergeCell ref="S22:X22"/>
    <mergeCell ref="Z20:Z49"/>
    <mergeCell ref="G21:J21"/>
    <mergeCell ref="K21:N21"/>
    <mergeCell ref="O21:R21"/>
    <mergeCell ref="S21:X21"/>
    <mergeCell ref="K27:N27"/>
    <mergeCell ref="O27:R27"/>
    <mergeCell ref="S27:X27"/>
    <mergeCell ref="G23:J23"/>
    <mergeCell ref="K23:N23"/>
    <mergeCell ref="O23:R23"/>
    <mergeCell ref="S23:X23"/>
    <mergeCell ref="K20:N20"/>
    <mergeCell ref="O20:R20"/>
    <mergeCell ref="S20:X20"/>
    <mergeCell ref="K24:N24"/>
    <mergeCell ref="O24:R24"/>
    <mergeCell ref="S24:X24"/>
    <mergeCell ref="G25:J25"/>
    <mergeCell ref="K25:N25"/>
    <mergeCell ref="O25:R25"/>
    <mergeCell ref="S25:X25"/>
    <mergeCell ref="G26:J26"/>
    <mergeCell ref="K26:N26"/>
    <mergeCell ref="O26:R26"/>
    <mergeCell ref="S26:X26"/>
    <mergeCell ref="G31:J31"/>
    <mergeCell ref="K31:N31"/>
    <mergeCell ref="O31:R31"/>
    <mergeCell ref="S31:X31"/>
    <mergeCell ref="K32:N32"/>
    <mergeCell ref="O32:R32"/>
    <mergeCell ref="S32:X32"/>
    <mergeCell ref="G33:J33"/>
    <mergeCell ref="K33:N33"/>
    <mergeCell ref="O33:R33"/>
    <mergeCell ref="S33:X33"/>
    <mergeCell ref="G28:J28"/>
    <mergeCell ref="K28:N28"/>
    <mergeCell ref="O28:R28"/>
    <mergeCell ref="S28:X28"/>
    <mergeCell ref="G29:J29"/>
    <mergeCell ref="K29:N29"/>
    <mergeCell ref="O29:R29"/>
    <mergeCell ref="S29:X29"/>
    <mergeCell ref="G30:J30"/>
    <mergeCell ref="K30:N30"/>
    <mergeCell ref="O30:R30"/>
    <mergeCell ref="S30:X30"/>
    <mergeCell ref="G34:J34"/>
    <mergeCell ref="K34:N34"/>
    <mergeCell ref="O34:R34"/>
    <mergeCell ref="S34:X34"/>
    <mergeCell ref="K41:N41"/>
    <mergeCell ref="O41:R41"/>
    <mergeCell ref="S41:X41"/>
    <mergeCell ref="G39:J39"/>
    <mergeCell ref="K39:N39"/>
    <mergeCell ref="G40:J40"/>
    <mergeCell ref="K40:N40"/>
    <mergeCell ref="O40:R40"/>
    <mergeCell ref="S40:X40"/>
    <mergeCell ref="K35:N35"/>
    <mergeCell ref="O35:R35"/>
    <mergeCell ref="S35:X35"/>
    <mergeCell ref="C42:Y49"/>
    <mergeCell ref="E20:F20"/>
    <mergeCell ref="C20:D20"/>
    <mergeCell ref="E26:F26"/>
    <mergeCell ref="E25:F25"/>
    <mergeCell ref="E24:F24"/>
    <mergeCell ref="E23:F23"/>
    <mergeCell ref="E22:F22"/>
    <mergeCell ref="E21:F21"/>
    <mergeCell ref="C26:D26"/>
    <mergeCell ref="O39:R39"/>
    <mergeCell ref="S39:X39"/>
    <mergeCell ref="G36:J36"/>
    <mergeCell ref="K36:N36"/>
    <mergeCell ref="O36:R36"/>
    <mergeCell ref="S36:X36"/>
    <mergeCell ref="G37:J37"/>
    <mergeCell ref="K37:N37"/>
    <mergeCell ref="O37:R37"/>
    <mergeCell ref="S37:X37"/>
    <mergeCell ref="G32:J32"/>
    <mergeCell ref="K38:N38"/>
    <mergeCell ref="O38:R38"/>
    <mergeCell ref="S38:X38"/>
    <mergeCell ref="C23:D23"/>
    <mergeCell ref="C22:D22"/>
    <mergeCell ref="C21:D21"/>
    <mergeCell ref="E41:F41"/>
    <mergeCell ref="E40:F40"/>
    <mergeCell ref="E39:F39"/>
    <mergeCell ref="E38:F38"/>
    <mergeCell ref="E37:F37"/>
    <mergeCell ref="G38:J38"/>
    <mergeCell ref="G41:J41"/>
    <mergeCell ref="G35:J35"/>
    <mergeCell ref="G24:J24"/>
    <mergeCell ref="G27:J27"/>
    <mergeCell ref="E27:F27"/>
    <mergeCell ref="C41:D41"/>
    <mergeCell ref="C40:D40"/>
    <mergeCell ref="C39:D39"/>
    <mergeCell ref="C38:D38"/>
    <mergeCell ref="C37:D37"/>
    <mergeCell ref="C36:D36"/>
    <mergeCell ref="C25:D25"/>
    <mergeCell ref="C24:D24"/>
    <mergeCell ref="E36:F36"/>
    <mergeCell ref="E35:F35"/>
    <mergeCell ref="C27:D27"/>
    <mergeCell ref="C35:D35"/>
    <mergeCell ref="C34:D34"/>
    <mergeCell ref="C33:D33"/>
    <mergeCell ref="C32:D32"/>
    <mergeCell ref="C31:D31"/>
    <mergeCell ref="C30:D30"/>
    <mergeCell ref="E34:F34"/>
    <mergeCell ref="E33:F33"/>
    <mergeCell ref="E32:F32"/>
    <mergeCell ref="E31:F31"/>
    <mergeCell ref="E30:F30"/>
    <mergeCell ref="E29:F29"/>
    <mergeCell ref="E28:F28"/>
    <mergeCell ref="C29:D29"/>
    <mergeCell ref="C28:D28"/>
  </mergeCells>
  <conditionalFormatting sqref="S20:X41">
    <cfRule type="cellIs" dxfId="1" priority="1" operator="equal">
      <formula>$S$15</formula>
    </cfRule>
  </conditionalFormatting>
  <printOptions horizontalCentered="1"/>
  <pageMargins left="1" right="1" top="0.5" bottom="0.5" header="0" footer="0"/>
  <pageSetup orientation="portrait" r:id="rId1"/>
  <headerFooter>
    <oddFooter xml:space="preserve">&amp;L4/7/2022
</oddFooter>
  </headerFooter>
  <colBreaks count="1" manualBreakCount="1">
    <brk id="26" max="1048575" man="1"/>
  </colBreaks>
  <ignoredErrors>
    <ignoredError sqref="A12:Z14 A9:R9 Y9:Z9 A10:R10 Y10:Z10 A11:R11 Y11:Z11 A15:R15 T15:Z1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52"/>
  <sheetViews>
    <sheetView showGridLines="0" zoomScaleNormal="100" zoomScaleSheetLayoutView="130" zoomScalePageLayoutView="205" workbookViewId="0">
      <selection activeCell="D3" sqref="D3:P3"/>
    </sheetView>
  </sheetViews>
  <sheetFormatPr defaultColWidth="3.140625" defaultRowHeight="18" customHeight="1" x14ac:dyDescent="0.25"/>
  <cols>
    <col min="1" max="16384" width="3.140625" style="2"/>
  </cols>
  <sheetData>
    <row r="1" spans="1:27" s="5" customFormat="1" ht="18" customHeight="1" thickBot="1" x14ac:dyDescent="0.3">
      <c r="A1" s="99" t="s">
        <v>85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8"/>
    </row>
    <row r="2" spans="1:27" ht="7.35" customHeight="1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"/>
    </row>
    <row r="3" spans="1:27" ht="18" customHeight="1" x14ac:dyDescent="0.25">
      <c r="A3" s="101" t="s">
        <v>0</v>
      </c>
      <c r="B3" s="101"/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3" t="s">
        <v>1</v>
      </c>
      <c r="R3" s="103"/>
      <c r="S3" s="103"/>
      <c r="T3" s="103"/>
      <c r="U3" s="103"/>
      <c r="V3" s="104"/>
      <c r="W3" s="104"/>
      <c r="X3" s="104"/>
      <c r="Y3" s="104"/>
      <c r="Z3" s="104"/>
      <c r="AA3" s="1"/>
    </row>
    <row r="4" spans="1:27" ht="7.35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1"/>
    </row>
    <row r="5" spans="1:27" ht="18" customHeight="1" x14ac:dyDescent="0.25">
      <c r="A5" s="101" t="s">
        <v>2</v>
      </c>
      <c r="B5" s="101"/>
      <c r="C5" s="101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3" t="s">
        <v>3</v>
      </c>
      <c r="R5" s="103"/>
      <c r="S5" s="103"/>
      <c r="T5" s="103"/>
      <c r="U5" s="103"/>
      <c r="V5" s="104"/>
      <c r="W5" s="104"/>
      <c r="X5" s="104"/>
      <c r="Y5" s="104"/>
      <c r="Z5" s="104"/>
      <c r="AA5" s="1"/>
    </row>
    <row r="6" spans="1:27" ht="7.35" customHeight="1" x14ac:dyDescent="0.2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"/>
    </row>
    <row r="7" spans="1:27" ht="18" customHeight="1" x14ac:dyDescent="0.25">
      <c r="A7" s="70" t="s">
        <v>122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1"/>
    </row>
    <row r="8" spans="1:27" ht="7.35" customHeight="1" x14ac:dyDescent="0.25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1"/>
    </row>
    <row r="9" spans="1:27" ht="36" customHeight="1" x14ac:dyDescent="0.25">
      <c r="A9" s="74"/>
      <c r="B9" s="9" t="s">
        <v>48</v>
      </c>
      <c r="C9" s="74" t="s">
        <v>151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243"/>
      <c r="Q9" s="243"/>
      <c r="R9" s="248"/>
      <c r="S9" s="75"/>
      <c r="T9" s="75"/>
      <c r="U9" s="75"/>
      <c r="V9" s="75"/>
      <c r="W9" s="75"/>
      <c r="X9" s="75"/>
      <c r="Y9" s="73" t="s">
        <v>46</v>
      </c>
      <c r="Z9" s="74"/>
      <c r="AA9" s="1"/>
    </row>
    <row r="10" spans="1:27" ht="36" customHeight="1" x14ac:dyDescent="0.25">
      <c r="A10" s="74"/>
      <c r="B10" s="9" t="s">
        <v>47</v>
      </c>
      <c r="C10" s="71" t="s">
        <v>170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243"/>
      <c r="Q10" s="243"/>
      <c r="R10" s="248"/>
      <c r="S10" s="75"/>
      <c r="T10" s="75"/>
      <c r="U10" s="75"/>
      <c r="V10" s="75"/>
      <c r="W10" s="75"/>
      <c r="X10" s="75"/>
      <c r="Y10" s="73"/>
      <c r="Z10" s="74"/>
      <c r="AA10" s="1"/>
    </row>
    <row r="11" spans="1:27" ht="36" customHeight="1" x14ac:dyDescent="0.25">
      <c r="A11" s="74"/>
      <c r="B11" s="9" t="s">
        <v>45</v>
      </c>
      <c r="C11" s="74" t="s">
        <v>153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243"/>
      <c r="Q11" s="243"/>
      <c r="R11" s="248"/>
      <c r="S11" s="191"/>
      <c r="T11" s="192"/>
      <c r="U11" s="192"/>
      <c r="V11" s="192"/>
      <c r="W11" s="192"/>
      <c r="X11" s="193"/>
      <c r="Y11" s="73" t="s">
        <v>86</v>
      </c>
      <c r="Z11" s="74"/>
      <c r="AA11" s="1"/>
    </row>
    <row r="12" spans="1:27" ht="7.35" customHeight="1" x14ac:dyDescent="0.25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1"/>
    </row>
    <row r="13" spans="1:27" ht="18" customHeight="1" x14ac:dyDescent="0.25">
      <c r="A13" s="70" t="s">
        <v>87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1"/>
    </row>
    <row r="14" spans="1:27" ht="7.35" customHeight="1" thickBot="1" x14ac:dyDescent="0.3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1"/>
    </row>
    <row r="15" spans="1:27" ht="36" customHeight="1" thickBot="1" x14ac:dyDescent="0.3">
      <c r="A15" s="5"/>
      <c r="B15" s="9" t="s">
        <v>44</v>
      </c>
      <c r="C15" s="71" t="s">
        <v>155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243"/>
      <c r="Q15" s="243"/>
      <c r="R15" s="244"/>
      <c r="S15" s="245" t="str">
        <f>IF(S11="","",MAX(S20:S49))</f>
        <v/>
      </c>
      <c r="T15" s="246"/>
      <c r="U15" s="246"/>
      <c r="V15" s="246"/>
      <c r="W15" s="246"/>
      <c r="X15" s="247"/>
      <c r="Y15" s="87" t="s">
        <v>27</v>
      </c>
      <c r="Z15" s="74"/>
      <c r="AA15" s="1"/>
    </row>
    <row r="16" spans="1:27" ht="7.35" customHeight="1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1"/>
    </row>
    <row r="17" spans="1:27" ht="18" customHeight="1" x14ac:dyDescent="0.25">
      <c r="A17" s="70" t="s">
        <v>88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1"/>
    </row>
    <row r="18" spans="1:27" ht="7.35" customHeight="1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1"/>
    </row>
    <row r="19" spans="1:27" ht="32.25" customHeight="1" x14ac:dyDescent="0.25">
      <c r="A19" s="111"/>
      <c r="B19" s="168"/>
      <c r="C19" s="279" t="s">
        <v>94</v>
      </c>
      <c r="D19" s="279"/>
      <c r="E19" s="279"/>
      <c r="F19" s="279"/>
      <c r="G19" s="279" t="s">
        <v>89</v>
      </c>
      <c r="H19" s="279"/>
      <c r="I19" s="279"/>
      <c r="J19" s="279"/>
      <c r="K19" s="279" t="s">
        <v>90</v>
      </c>
      <c r="L19" s="279"/>
      <c r="M19" s="279"/>
      <c r="N19" s="279"/>
      <c r="O19" s="279" t="s">
        <v>91</v>
      </c>
      <c r="P19" s="279"/>
      <c r="Q19" s="279"/>
      <c r="R19" s="279"/>
      <c r="S19" s="279" t="s">
        <v>92</v>
      </c>
      <c r="T19" s="279"/>
      <c r="U19" s="279"/>
      <c r="V19" s="279"/>
      <c r="W19" s="279"/>
      <c r="X19" s="279"/>
      <c r="Y19" s="199"/>
      <c r="Z19" s="111"/>
      <c r="AA19" s="1"/>
    </row>
    <row r="20" spans="1:27" ht="11.45" customHeight="1" x14ac:dyDescent="0.25">
      <c r="A20" s="111"/>
      <c r="B20" s="168"/>
      <c r="C20" s="260">
        <v>10</v>
      </c>
      <c r="D20" s="261"/>
      <c r="E20" s="277" t="s">
        <v>93</v>
      </c>
      <c r="F20" s="278"/>
      <c r="G20" s="270">
        <v>7.6</v>
      </c>
      <c r="H20" s="270"/>
      <c r="I20" s="270"/>
      <c r="J20" s="270"/>
      <c r="K20" s="270" t="str">
        <f>IF(AND(ISNUMBER($S$9),ISNUMBER($S$10)),$S$10*G20*$S$9,"")</f>
        <v/>
      </c>
      <c r="L20" s="270"/>
      <c r="M20" s="270"/>
      <c r="N20" s="270"/>
      <c r="O20" s="270" t="str">
        <f>IF(AND(ISNUMBER($S$11),ISNUMBER(K20)),K20-$S$11,"")</f>
        <v/>
      </c>
      <c r="P20" s="270"/>
      <c r="Q20" s="270"/>
      <c r="R20" s="270"/>
      <c r="S20" s="274" t="str">
        <f>IF(ISNUMBER(O20),((C20/60)*O20)/12.1,"")</f>
        <v/>
      </c>
      <c r="T20" s="274"/>
      <c r="U20" s="274"/>
      <c r="V20" s="274"/>
      <c r="W20" s="274"/>
      <c r="X20" s="274"/>
      <c r="Y20" s="17" t="str">
        <f>IF(S20="","",IF($S20=$S$15,"←",""))</f>
        <v/>
      </c>
      <c r="Z20" s="111"/>
      <c r="AA20" s="1"/>
    </row>
    <row r="21" spans="1:27" ht="11.45" customHeight="1" x14ac:dyDescent="0.25">
      <c r="A21" s="111"/>
      <c r="B21" s="168"/>
      <c r="C21" s="260">
        <v>20</v>
      </c>
      <c r="D21" s="261"/>
      <c r="E21" s="277" t="s">
        <v>93</v>
      </c>
      <c r="F21" s="278"/>
      <c r="G21" s="270">
        <v>5.5</v>
      </c>
      <c r="H21" s="270"/>
      <c r="I21" s="270"/>
      <c r="J21" s="270"/>
      <c r="K21" s="270" t="str">
        <f t="shared" ref="K21:K49" si="0">IF(AND(ISNUMBER($S$9),ISNUMBER($S$10)),$S$10*G21*$S$9,"")</f>
        <v/>
      </c>
      <c r="L21" s="270"/>
      <c r="M21" s="270"/>
      <c r="N21" s="270"/>
      <c r="O21" s="270" t="str">
        <f t="shared" ref="O21:O49" si="1">IF(AND(ISNUMBER($S$11),ISNUMBER(K21)),K21-$S$11,"")</f>
        <v/>
      </c>
      <c r="P21" s="270"/>
      <c r="Q21" s="270"/>
      <c r="R21" s="270"/>
      <c r="S21" s="274" t="str">
        <f t="shared" ref="S21:S24" si="2">IF(ISNUMBER(O21),((C21/60)*O21)/12.1,"")</f>
        <v/>
      </c>
      <c r="T21" s="274"/>
      <c r="U21" s="274"/>
      <c r="V21" s="274"/>
      <c r="W21" s="274"/>
      <c r="X21" s="274"/>
      <c r="Y21" s="17" t="str">
        <f t="shared" ref="Y21:Y49" si="3">IF(S21="","",IF($S21=$S$15,"←",""))</f>
        <v/>
      </c>
      <c r="Z21" s="111"/>
      <c r="AA21" s="1"/>
    </row>
    <row r="22" spans="1:27" ht="11.45" customHeight="1" x14ac:dyDescent="0.25">
      <c r="A22" s="111"/>
      <c r="B22" s="168"/>
      <c r="C22" s="260">
        <v>30</v>
      </c>
      <c r="D22" s="261"/>
      <c r="E22" s="277" t="s">
        <v>93</v>
      </c>
      <c r="F22" s="278"/>
      <c r="G22" s="270">
        <v>4.4000000000000004</v>
      </c>
      <c r="H22" s="270"/>
      <c r="I22" s="270"/>
      <c r="J22" s="270"/>
      <c r="K22" s="270" t="str">
        <f t="shared" si="0"/>
        <v/>
      </c>
      <c r="L22" s="270"/>
      <c r="M22" s="270"/>
      <c r="N22" s="270"/>
      <c r="O22" s="270" t="str">
        <f t="shared" si="1"/>
        <v/>
      </c>
      <c r="P22" s="270"/>
      <c r="Q22" s="270"/>
      <c r="R22" s="270"/>
      <c r="S22" s="274" t="str">
        <f t="shared" si="2"/>
        <v/>
      </c>
      <c r="T22" s="274"/>
      <c r="U22" s="274"/>
      <c r="V22" s="274"/>
      <c r="W22" s="274"/>
      <c r="X22" s="274"/>
      <c r="Y22" s="17" t="str">
        <f t="shared" si="3"/>
        <v/>
      </c>
      <c r="Z22" s="111"/>
      <c r="AA22" s="1"/>
    </row>
    <row r="23" spans="1:27" ht="11.45" customHeight="1" x14ac:dyDescent="0.25">
      <c r="A23" s="111"/>
      <c r="B23" s="168"/>
      <c r="C23" s="260">
        <v>40</v>
      </c>
      <c r="D23" s="261"/>
      <c r="E23" s="277" t="s">
        <v>93</v>
      </c>
      <c r="F23" s="278"/>
      <c r="G23" s="270">
        <v>3.7</v>
      </c>
      <c r="H23" s="270"/>
      <c r="I23" s="270"/>
      <c r="J23" s="270"/>
      <c r="K23" s="270" t="str">
        <f t="shared" si="0"/>
        <v/>
      </c>
      <c r="L23" s="270"/>
      <c r="M23" s="270"/>
      <c r="N23" s="270"/>
      <c r="O23" s="270" t="str">
        <f t="shared" si="1"/>
        <v/>
      </c>
      <c r="P23" s="270"/>
      <c r="Q23" s="270"/>
      <c r="R23" s="270"/>
      <c r="S23" s="274" t="str">
        <f t="shared" si="2"/>
        <v/>
      </c>
      <c r="T23" s="274"/>
      <c r="U23" s="274"/>
      <c r="V23" s="274"/>
      <c r="W23" s="274"/>
      <c r="X23" s="274"/>
      <c r="Y23" s="17" t="str">
        <f t="shared" si="3"/>
        <v/>
      </c>
      <c r="Z23" s="111"/>
      <c r="AA23" s="1"/>
    </row>
    <row r="24" spans="1:27" ht="11.45" customHeight="1" x14ac:dyDescent="0.25">
      <c r="A24" s="111"/>
      <c r="B24" s="168"/>
      <c r="C24" s="260">
        <v>50</v>
      </c>
      <c r="D24" s="261"/>
      <c r="E24" s="277" t="s">
        <v>93</v>
      </c>
      <c r="F24" s="278"/>
      <c r="G24" s="270">
        <v>3.2</v>
      </c>
      <c r="H24" s="270"/>
      <c r="I24" s="270"/>
      <c r="J24" s="270"/>
      <c r="K24" s="270" t="str">
        <f t="shared" si="0"/>
        <v/>
      </c>
      <c r="L24" s="270"/>
      <c r="M24" s="270"/>
      <c r="N24" s="270"/>
      <c r="O24" s="270" t="str">
        <f t="shared" si="1"/>
        <v/>
      </c>
      <c r="P24" s="270"/>
      <c r="Q24" s="270"/>
      <c r="R24" s="270"/>
      <c r="S24" s="274" t="str">
        <f t="shared" si="2"/>
        <v/>
      </c>
      <c r="T24" s="274"/>
      <c r="U24" s="274"/>
      <c r="V24" s="274"/>
      <c r="W24" s="274"/>
      <c r="X24" s="274"/>
      <c r="Y24" s="17" t="str">
        <f t="shared" si="3"/>
        <v/>
      </c>
      <c r="Z24" s="111"/>
      <c r="AA24" s="1"/>
    </row>
    <row r="25" spans="1:27" ht="11.45" customHeight="1" x14ac:dyDescent="0.25">
      <c r="A25" s="111"/>
      <c r="B25" s="168"/>
      <c r="C25" s="260">
        <v>1</v>
      </c>
      <c r="D25" s="261"/>
      <c r="E25" s="262" t="s">
        <v>59</v>
      </c>
      <c r="F25" s="263"/>
      <c r="G25" s="270">
        <v>2.8</v>
      </c>
      <c r="H25" s="270"/>
      <c r="I25" s="270"/>
      <c r="J25" s="270"/>
      <c r="K25" s="270" t="str">
        <f t="shared" si="0"/>
        <v/>
      </c>
      <c r="L25" s="270"/>
      <c r="M25" s="270"/>
      <c r="N25" s="270"/>
      <c r="O25" s="270" t="str">
        <f t="shared" si="1"/>
        <v/>
      </c>
      <c r="P25" s="270"/>
      <c r="Q25" s="270"/>
      <c r="R25" s="270"/>
      <c r="S25" s="274" t="str">
        <f t="shared" ref="S25:S49" si="4">IF(ISNUMBER(O25),(C25*O25)/12.1,"")</f>
        <v/>
      </c>
      <c r="T25" s="274"/>
      <c r="U25" s="274"/>
      <c r="V25" s="274"/>
      <c r="W25" s="274"/>
      <c r="X25" s="274"/>
      <c r="Y25" s="17" t="str">
        <f t="shared" si="3"/>
        <v/>
      </c>
      <c r="Z25" s="111"/>
      <c r="AA25" s="1"/>
    </row>
    <row r="26" spans="1:27" ht="11.45" customHeight="1" x14ac:dyDescent="0.25">
      <c r="A26" s="111"/>
      <c r="B26" s="168"/>
      <c r="C26" s="275">
        <v>1.5</v>
      </c>
      <c r="D26" s="276"/>
      <c r="E26" s="262" t="s">
        <v>59</v>
      </c>
      <c r="F26" s="263"/>
      <c r="G26" s="270">
        <v>2.1</v>
      </c>
      <c r="H26" s="270"/>
      <c r="I26" s="270"/>
      <c r="J26" s="270"/>
      <c r="K26" s="270" t="str">
        <f t="shared" si="0"/>
        <v/>
      </c>
      <c r="L26" s="270"/>
      <c r="M26" s="270"/>
      <c r="N26" s="270"/>
      <c r="O26" s="270" t="str">
        <f t="shared" si="1"/>
        <v/>
      </c>
      <c r="P26" s="270"/>
      <c r="Q26" s="270"/>
      <c r="R26" s="270"/>
      <c r="S26" s="274" t="str">
        <f t="shared" si="4"/>
        <v/>
      </c>
      <c r="T26" s="274"/>
      <c r="U26" s="274"/>
      <c r="V26" s="274"/>
      <c r="W26" s="274"/>
      <c r="X26" s="274"/>
      <c r="Y26" s="17" t="str">
        <f t="shared" si="3"/>
        <v/>
      </c>
      <c r="Z26" s="111"/>
      <c r="AA26" s="1"/>
    </row>
    <row r="27" spans="1:27" ht="11.45" customHeight="1" x14ac:dyDescent="0.25">
      <c r="A27" s="111"/>
      <c r="B27" s="168"/>
      <c r="C27" s="260">
        <v>2</v>
      </c>
      <c r="D27" s="261"/>
      <c r="E27" s="262" t="s">
        <v>59</v>
      </c>
      <c r="F27" s="263"/>
      <c r="G27" s="270">
        <v>1.7</v>
      </c>
      <c r="H27" s="270"/>
      <c r="I27" s="270"/>
      <c r="J27" s="270"/>
      <c r="K27" s="270" t="str">
        <f t="shared" si="0"/>
        <v/>
      </c>
      <c r="L27" s="270"/>
      <c r="M27" s="270"/>
      <c r="N27" s="270"/>
      <c r="O27" s="270" t="str">
        <f t="shared" si="1"/>
        <v/>
      </c>
      <c r="P27" s="270"/>
      <c r="Q27" s="270"/>
      <c r="R27" s="270"/>
      <c r="S27" s="274" t="str">
        <f t="shared" si="4"/>
        <v/>
      </c>
      <c r="T27" s="274"/>
      <c r="U27" s="274"/>
      <c r="V27" s="274"/>
      <c r="W27" s="274"/>
      <c r="X27" s="274"/>
      <c r="Y27" s="17" t="str">
        <f t="shared" si="3"/>
        <v/>
      </c>
      <c r="Z27" s="111"/>
      <c r="AA27" s="1"/>
    </row>
    <row r="28" spans="1:27" ht="11.45" customHeight="1" x14ac:dyDescent="0.25">
      <c r="A28" s="111"/>
      <c r="B28" s="168"/>
      <c r="C28" s="260">
        <v>3</v>
      </c>
      <c r="D28" s="261"/>
      <c r="E28" s="262" t="s">
        <v>59</v>
      </c>
      <c r="F28" s="263"/>
      <c r="G28" s="270">
        <v>1.2</v>
      </c>
      <c r="H28" s="270"/>
      <c r="I28" s="270"/>
      <c r="J28" s="270"/>
      <c r="K28" s="270" t="str">
        <f t="shared" si="0"/>
        <v/>
      </c>
      <c r="L28" s="270"/>
      <c r="M28" s="270"/>
      <c r="N28" s="270"/>
      <c r="O28" s="270" t="str">
        <f t="shared" si="1"/>
        <v/>
      </c>
      <c r="P28" s="270"/>
      <c r="Q28" s="270"/>
      <c r="R28" s="270"/>
      <c r="S28" s="274" t="str">
        <f t="shared" si="4"/>
        <v/>
      </c>
      <c r="T28" s="274"/>
      <c r="U28" s="274"/>
      <c r="V28" s="274"/>
      <c r="W28" s="274"/>
      <c r="X28" s="274"/>
      <c r="Y28" s="17" t="str">
        <f t="shared" si="3"/>
        <v/>
      </c>
      <c r="Z28" s="111"/>
      <c r="AA28" s="1"/>
    </row>
    <row r="29" spans="1:27" ht="11.45" customHeight="1" x14ac:dyDescent="0.25">
      <c r="A29" s="111"/>
      <c r="B29" s="168"/>
      <c r="C29" s="260">
        <v>4</v>
      </c>
      <c r="D29" s="261"/>
      <c r="E29" s="262" t="s">
        <v>59</v>
      </c>
      <c r="F29" s="263"/>
      <c r="G29" s="270">
        <v>1</v>
      </c>
      <c r="H29" s="270"/>
      <c r="I29" s="270"/>
      <c r="J29" s="270"/>
      <c r="K29" s="270" t="str">
        <f t="shared" si="0"/>
        <v/>
      </c>
      <c r="L29" s="270"/>
      <c r="M29" s="270"/>
      <c r="N29" s="270"/>
      <c r="O29" s="270" t="str">
        <f t="shared" si="1"/>
        <v/>
      </c>
      <c r="P29" s="270"/>
      <c r="Q29" s="270"/>
      <c r="R29" s="270"/>
      <c r="S29" s="274" t="str">
        <f t="shared" si="4"/>
        <v/>
      </c>
      <c r="T29" s="274"/>
      <c r="U29" s="274"/>
      <c r="V29" s="274"/>
      <c r="W29" s="274"/>
      <c r="X29" s="274"/>
      <c r="Y29" s="17" t="str">
        <f t="shared" si="3"/>
        <v/>
      </c>
      <c r="Z29" s="111"/>
    </row>
    <row r="30" spans="1:27" ht="11.45" customHeight="1" x14ac:dyDescent="0.25">
      <c r="A30" s="111"/>
      <c r="B30" s="168"/>
      <c r="C30" s="260">
        <v>5</v>
      </c>
      <c r="D30" s="261"/>
      <c r="E30" s="262" t="s">
        <v>59</v>
      </c>
      <c r="F30" s="263"/>
      <c r="G30" s="270">
        <v>0.84</v>
      </c>
      <c r="H30" s="270"/>
      <c r="I30" s="270"/>
      <c r="J30" s="270"/>
      <c r="K30" s="270" t="str">
        <f t="shared" si="0"/>
        <v/>
      </c>
      <c r="L30" s="270"/>
      <c r="M30" s="270"/>
      <c r="N30" s="270"/>
      <c r="O30" s="270" t="str">
        <f t="shared" si="1"/>
        <v/>
      </c>
      <c r="P30" s="270"/>
      <c r="Q30" s="270"/>
      <c r="R30" s="270"/>
      <c r="S30" s="274" t="str">
        <f t="shared" si="4"/>
        <v/>
      </c>
      <c r="T30" s="274"/>
      <c r="U30" s="274"/>
      <c r="V30" s="274"/>
      <c r="W30" s="274"/>
      <c r="X30" s="274"/>
      <c r="Y30" s="17" t="str">
        <f t="shared" si="3"/>
        <v/>
      </c>
      <c r="Z30" s="111"/>
    </row>
    <row r="31" spans="1:27" ht="11.45" customHeight="1" x14ac:dyDescent="0.25">
      <c r="A31" s="111"/>
      <c r="B31" s="168"/>
      <c r="C31" s="260">
        <v>6</v>
      </c>
      <c r="D31" s="261"/>
      <c r="E31" s="262" t="s">
        <v>59</v>
      </c>
      <c r="F31" s="263"/>
      <c r="G31" s="270">
        <v>0.73</v>
      </c>
      <c r="H31" s="270"/>
      <c r="I31" s="270"/>
      <c r="J31" s="270"/>
      <c r="K31" s="270" t="str">
        <f t="shared" si="0"/>
        <v/>
      </c>
      <c r="L31" s="270"/>
      <c r="M31" s="270"/>
      <c r="N31" s="270"/>
      <c r="O31" s="270" t="str">
        <f t="shared" si="1"/>
        <v/>
      </c>
      <c r="P31" s="270"/>
      <c r="Q31" s="270"/>
      <c r="R31" s="270"/>
      <c r="S31" s="274" t="str">
        <f t="shared" si="4"/>
        <v/>
      </c>
      <c r="T31" s="274"/>
      <c r="U31" s="274"/>
      <c r="V31" s="274"/>
      <c r="W31" s="274"/>
      <c r="X31" s="274"/>
      <c r="Y31" s="17" t="str">
        <f t="shared" si="3"/>
        <v/>
      </c>
      <c r="Z31" s="111"/>
    </row>
    <row r="32" spans="1:27" ht="11.45" customHeight="1" x14ac:dyDescent="0.25">
      <c r="A32" s="111"/>
      <c r="B32" s="168"/>
      <c r="C32" s="260">
        <v>7</v>
      </c>
      <c r="D32" s="261"/>
      <c r="E32" s="262" t="s">
        <v>59</v>
      </c>
      <c r="F32" s="263"/>
      <c r="G32" s="270">
        <v>0.65</v>
      </c>
      <c r="H32" s="270"/>
      <c r="I32" s="270"/>
      <c r="J32" s="270"/>
      <c r="K32" s="270" t="str">
        <f t="shared" si="0"/>
        <v/>
      </c>
      <c r="L32" s="270"/>
      <c r="M32" s="270"/>
      <c r="N32" s="270"/>
      <c r="O32" s="270" t="str">
        <f t="shared" si="1"/>
        <v/>
      </c>
      <c r="P32" s="270"/>
      <c r="Q32" s="270"/>
      <c r="R32" s="270"/>
      <c r="S32" s="274" t="str">
        <f t="shared" si="4"/>
        <v/>
      </c>
      <c r="T32" s="274"/>
      <c r="U32" s="274"/>
      <c r="V32" s="274"/>
      <c r="W32" s="274"/>
      <c r="X32" s="274"/>
      <c r="Y32" s="17" t="str">
        <f t="shared" si="3"/>
        <v/>
      </c>
      <c r="Z32" s="111"/>
    </row>
    <row r="33" spans="1:26" ht="11.45" customHeight="1" x14ac:dyDescent="0.25">
      <c r="A33" s="111"/>
      <c r="B33" s="168"/>
      <c r="C33" s="260">
        <v>8</v>
      </c>
      <c r="D33" s="261"/>
      <c r="E33" s="262" t="s">
        <v>59</v>
      </c>
      <c r="F33" s="263"/>
      <c r="G33" s="270">
        <v>0.57999999999999996</v>
      </c>
      <c r="H33" s="270"/>
      <c r="I33" s="270"/>
      <c r="J33" s="270"/>
      <c r="K33" s="270" t="str">
        <f t="shared" si="0"/>
        <v/>
      </c>
      <c r="L33" s="270"/>
      <c r="M33" s="270"/>
      <c r="N33" s="270"/>
      <c r="O33" s="270" t="str">
        <f t="shared" si="1"/>
        <v/>
      </c>
      <c r="P33" s="270"/>
      <c r="Q33" s="270"/>
      <c r="R33" s="270"/>
      <c r="S33" s="274" t="str">
        <f t="shared" si="4"/>
        <v/>
      </c>
      <c r="T33" s="274"/>
      <c r="U33" s="274"/>
      <c r="V33" s="274"/>
      <c r="W33" s="274"/>
      <c r="X33" s="274"/>
      <c r="Y33" s="17" t="str">
        <f t="shared" si="3"/>
        <v/>
      </c>
      <c r="Z33" s="111"/>
    </row>
    <row r="34" spans="1:26" ht="11.45" customHeight="1" x14ac:dyDescent="0.25">
      <c r="A34" s="111"/>
      <c r="B34" s="168"/>
      <c r="C34" s="260">
        <v>9</v>
      </c>
      <c r="D34" s="261"/>
      <c r="E34" s="262" t="s">
        <v>59</v>
      </c>
      <c r="F34" s="263"/>
      <c r="G34" s="270">
        <v>0.53</v>
      </c>
      <c r="H34" s="270"/>
      <c r="I34" s="270"/>
      <c r="J34" s="270"/>
      <c r="K34" s="270" t="str">
        <f t="shared" si="0"/>
        <v/>
      </c>
      <c r="L34" s="270"/>
      <c r="M34" s="270"/>
      <c r="N34" s="270"/>
      <c r="O34" s="270" t="str">
        <f t="shared" si="1"/>
        <v/>
      </c>
      <c r="P34" s="270"/>
      <c r="Q34" s="270"/>
      <c r="R34" s="270"/>
      <c r="S34" s="274" t="str">
        <f t="shared" si="4"/>
        <v/>
      </c>
      <c r="T34" s="274"/>
      <c r="U34" s="274"/>
      <c r="V34" s="274"/>
      <c r="W34" s="274"/>
      <c r="X34" s="274"/>
      <c r="Y34" s="17" t="str">
        <f t="shared" si="3"/>
        <v/>
      </c>
      <c r="Z34" s="111"/>
    </row>
    <row r="35" spans="1:26" ht="11.45" customHeight="1" x14ac:dyDescent="0.25">
      <c r="A35" s="111"/>
      <c r="B35" s="168"/>
      <c r="C35" s="260">
        <v>10</v>
      </c>
      <c r="D35" s="261"/>
      <c r="E35" s="262" t="s">
        <v>59</v>
      </c>
      <c r="F35" s="263"/>
      <c r="G35" s="270">
        <v>0.49</v>
      </c>
      <c r="H35" s="270"/>
      <c r="I35" s="270"/>
      <c r="J35" s="270"/>
      <c r="K35" s="270" t="str">
        <f t="shared" si="0"/>
        <v/>
      </c>
      <c r="L35" s="270"/>
      <c r="M35" s="270"/>
      <c r="N35" s="270"/>
      <c r="O35" s="270" t="str">
        <f t="shared" si="1"/>
        <v/>
      </c>
      <c r="P35" s="270"/>
      <c r="Q35" s="270"/>
      <c r="R35" s="270"/>
      <c r="S35" s="271" t="str">
        <f t="shared" si="4"/>
        <v/>
      </c>
      <c r="T35" s="272"/>
      <c r="U35" s="272"/>
      <c r="V35" s="272"/>
      <c r="W35" s="272"/>
      <c r="X35" s="273"/>
      <c r="Y35" s="17" t="str">
        <f t="shared" si="3"/>
        <v/>
      </c>
      <c r="Z35" s="111"/>
    </row>
    <row r="36" spans="1:26" ht="11.45" customHeight="1" x14ac:dyDescent="0.25">
      <c r="A36" s="111"/>
      <c r="B36" s="168"/>
      <c r="C36" s="260">
        <v>11</v>
      </c>
      <c r="D36" s="261"/>
      <c r="E36" s="262" t="s">
        <v>59</v>
      </c>
      <c r="F36" s="263"/>
      <c r="G36" s="270">
        <v>0.46</v>
      </c>
      <c r="H36" s="270"/>
      <c r="I36" s="270"/>
      <c r="J36" s="270"/>
      <c r="K36" s="270" t="str">
        <f t="shared" si="0"/>
        <v/>
      </c>
      <c r="L36" s="270"/>
      <c r="M36" s="270"/>
      <c r="N36" s="270"/>
      <c r="O36" s="270" t="str">
        <f t="shared" si="1"/>
        <v/>
      </c>
      <c r="P36" s="270"/>
      <c r="Q36" s="270"/>
      <c r="R36" s="270"/>
      <c r="S36" s="271" t="str">
        <f t="shared" si="4"/>
        <v/>
      </c>
      <c r="T36" s="272"/>
      <c r="U36" s="272"/>
      <c r="V36" s="272"/>
      <c r="W36" s="272"/>
      <c r="X36" s="273"/>
      <c r="Y36" s="17" t="str">
        <f t="shared" si="3"/>
        <v/>
      </c>
      <c r="Z36" s="111"/>
    </row>
    <row r="37" spans="1:26" ht="11.45" customHeight="1" x14ac:dyDescent="0.25">
      <c r="A37" s="111"/>
      <c r="B37" s="168"/>
      <c r="C37" s="260">
        <v>12</v>
      </c>
      <c r="D37" s="261"/>
      <c r="E37" s="262" t="s">
        <v>59</v>
      </c>
      <c r="F37" s="263"/>
      <c r="G37" s="270">
        <v>0.43</v>
      </c>
      <c r="H37" s="270"/>
      <c r="I37" s="270"/>
      <c r="J37" s="270"/>
      <c r="K37" s="270" t="str">
        <f t="shared" si="0"/>
        <v/>
      </c>
      <c r="L37" s="270"/>
      <c r="M37" s="270"/>
      <c r="N37" s="270"/>
      <c r="O37" s="270" t="str">
        <f t="shared" si="1"/>
        <v/>
      </c>
      <c r="P37" s="270"/>
      <c r="Q37" s="270"/>
      <c r="R37" s="270"/>
      <c r="S37" s="271" t="str">
        <f t="shared" si="4"/>
        <v/>
      </c>
      <c r="T37" s="272"/>
      <c r="U37" s="272"/>
      <c r="V37" s="272"/>
      <c r="W37" s="272"/>
      <c r="X37" s="273"/>
      <c r="Y37" s="17" t="str">
        <f t="shared" si="3"/>
        <v/>
      </c>
      <c r="Z37" s="111"/>
    </row>
    <row r="38" spans="1:26" ht="11.45" customHeight="1" x14ac:dyDescent="0.25">
      <c r="A38" s="111"/>
      <c r="B38" s="168"/>
      <c r="C38" s="260">
        <v>13</v>
      </c>
      <c r="D38" s="261"/>
      <c r="E38" s="262" t="s">
        <v>59</v>
      </c>
      <c r="F38" s="263"/>
      <c r="G38" s="270">
        <v>0.4</v>
      </c>
      <c r="H38" s="270"/>
      <c r="I38" s="270"/>
      <c r="J38" s="270"/>
      <c r="K38" s="270" t="str">
        <f t="shared" si="0"/>
        <v/>
      </c>
      <c r="L38" s="270"/>
      <c r="M38" s="270"/>
      <c r="N38" s="270"/>
      <c r="O38" s="270" t="str">
        <f t="shared" si="1"/>
        <v/>
      </c>
      <c r="P38" s="270"/>
      <c r="Q38" s="270"/>
      <c r="R38" s="270"/>
      <c r="S38" s="271" t="str">
        <f t="shared" si="4"/>
        <v/>
      </c>
      <c r="T38" s="272"/>
      <c r="U38" s="272"/>
      <c r="V38" s="272"/>
      <c r="W38" s="272"/>
      <c r="X38" s="273"/>
      <c r="Y38" s="17" t="str">
        <f t="shared" si="3"/>
        <v/>
      </c>
      <c r="Z38" s="111"/>
    </row>
    <row r="39" spans="1:26" ht="11.45" customHeight="1" x14ac:dyDescent="0.25">
      <c r="A39" s="111"/>
      <c r="B39" s="168"/>
      <c r="C39" s="260">
        <v>14</v>
      </c>
      <c r="D39" s="261"/>
      <c r="E39" s="262" t="s">
        <v>59</v>
      </c>
      <c r="F39" s="263"/>
      <c r="G39" s="270">
        <v>0.38</v>
      </c>
      <c r="H39" s="270"/>
      <c r="I39" s="270"/>
      <c r="J39" s="270"/>
      <c r="K39" s="270" t="str">
        <f t="shared" si="0"/>
        <v/>
      </c>
      <c r="L39" s="270"/>
      <c r="M39" s="270"/>
      <c r="N39" s="270"/>
      <c r="O39" s="270" t="str">
        <f t="shared" si="1"/>
        <v/>
      </c>
      <c r="P39" s="270"/>
      <c r="Q39" s="270"/>
      <c r="R39" s="270"/>
      <c r="S39" s="271" t="str">
        <f t="shared" si="4"/>
        <v/>
      </c>
      <c r="T39" s="272"/>
      <c r="U39" s="272"/>
      <c r="V39" s="272"/>
      <c r="W39" s="272"/>
      <c r="X39" s="273"/>
      <c r="Y39" s="17" t="str">
        <f t="shared" si="3"/>
        <v/>
      </c>
      <c r="Z39" s="111"/>
    </row>
    <row r="40" spans="1:26" ht="11.45" customHeight="1" x14ac:dyDescent="0.25">
      <c r="A40" s="111"/>
      <c r="B40" s="168"/>
      <c r="C40" s="260">
        <v>15</v>
      </c>
      <c r="D40" s="261"/>
      <c r="E40" s="262" t="s">
        <v>59</v>
      </c>
      <c r="F40" s="263"/>
      <c r="G40" s="270">
        <v>0.36</v>
      </c>
      <c r="H40" s="270"/>
      <c r="I40" s="270"/>
      <c r="J40" s="270"/>
      <c r="K40" s="270" t="str">
        <f t="shared" si="0"/>
        <v/>
      </c>
      <c r="L40" s="270"/>
      <c r="M40" s="270"/>
      <c r="N40" s="270"/>
      <c r="O40" s="270" t="str">
        <f t="shared" si="1"/>
        <v/>
      </c>
      <c r="P40" s="270"/>
      <c r="Q40" s="270"/>
      <c r="R40" s="270"/>
      <c r="S40" s="271" t="str">
        <f t="shared" si="4"/>
        <v/>
      </c>
      <c r="T40" s="272"/>
      <c r="U40" s="272"/>
      <c r="V40" s="272"/>
      <c r="W40" s="272"/>
      <c r="X40" s="273"/>
      <c r="Y40" s="17" t="str">
        <f t="shared" si="3"/>
        <v/>
      </c>
      <c r="Z40" s="111"/>
    </row>
    <row r="41" spans="1:26" ht="11.45" customHeight="1" x14ac:dyDescent="0.25">
      <c r="A41" s="111"/>
      <c r="B41" s="168"/>
      <c r="C41" s="260">
        <v>16</v>
      </c>
      <c r="D41" s="261"/>
      <c r="E41" s="262" t="s">
        <v>59</v>
      </c>
      <c r="F41" s="263"/>
      <c r="G41" s="270">
        <v>0.34</v>
      </c>
      <c r="H41" s="270"/>
      <c r="I41" s="270"/>
      <c r="J41" s="270"/>
      <c r="K41" s="270" t="str">
        <f t="shared" si="0"/>
        <v/>
      </c>
      <c r="L41" s="270"/>
      <c r="M41" s="270"/>
      <c r="N41" s="270"/>
      <c r="O41" s="270" t="str">
        <f t="shared" si="1"/>
        <v/>
      </c>
      <c r="P41" s="270"/>
      <c r="Q41" s="270"/>
      <c r="R41" s="270"/>
      <c r="S41" s="271" t="str">
        <f t="shared" si="4"/>
        <v/>
      </c>
      <c r="T41" s="272"/>
      <c r="U41" s="272"/>
      <c r="V41" s="272"/>
      <c r="W41" s="272"/>
      <c r="X41" s="273"/>
      <c r="Y41" s="17" t="str">
        <f t="shared" si="3"/>
        <v/>
      </c>
      <c r="Z41" s="111"/>
    </row>
    <row r="42" spans="1:26" ht="11.45" customHeight="1" x14ac:dyDescent="0.25">
      <c r="A42" s="111"/>
      <c r="B42" s="168"/>
      <c r="C42" s="260">
        <v>17</v>
      </c>
      <c r="D42" s="261"/>
      <c r="E42" s="262" t="s">
        <v>59</v>
      </c>
      <c r="F42" s="263"/>
      <c r="G42" s="270">
        <v>0.33</v>
      </c>
      <c r="H42" s="270"/>
      <c r="I42" s="270"/>
      <c r="J42" s="270"/>
      <c r="K42" s="270" t="str">
        <f t="shared" si="0"/>
        <v/>
      </c>
      <c r="L42" s="270"/>
      <c r="M42" s="270"/>
      <c r="N42" s="270"/>
      <c r="O42" s="270" t="str">
        <f t="shared" si="1"/>
        <v/>
      </c>
      <c r="P42" s="270"/>
      <c r="Q42" s="270"/>
      <c r="R42" s="270"/>
      <c r="S42" s="271" t="str">
        <f t="shared" si="4"/>
        <v/>
      </c>
      <c r="T42" s="272"/>
      <c r="U42" s="272"/>
      <c r="V42" s="272"/>
      <c r="W42" s="272"/>
      <c r="X42" s="273"/>
      <c r="Y42" s="17" t="str">
        <f t="shared" si="3"/>
        <v/>
      </c>
      <c r="Z42" s="111"/>
    </row>
    <row r="43" spans="1:26" ht="11.45" customHeight="1" x14ac:dyDescent="0.25">
      <c r="A43" s="111"/>
      <c r="B43" s="168"/>
      <c r="C43" s="260">
        <v>18</v>
      </c>
      <c r="D43" s="261"/>
      <c r="E43" s="262" t="s">
        <v>59</v>
      </c>
      <c r="F43" s="263"/>
      <c r="G43" s="270">
        <v>0.31</v>
      </c>
      <c r="H43" s="270"/>
      <c r="I43" s="270"/>
      <c r="J43" s="270"/>
      <c r="K43" s="270" t="str">
        <f t="shared" si="0"/>
        <v/>
      </c>
      <c r="L43" s="270"/>
      <c r="M43" s="270"/>
      <c r="N43" s="270"/>
      <c r="O43" s="270" t="str">
        <f t="shared" si="1"/>
        <v/>
      </c>
      <c r="P43" s="270"/>
      <c r="Q43" s="270"/>
      <c r="R43" s="270"/>
      <c r="S43" s="271" t="str">
        <f t="shared" si="4"/>
        <v/>
      </c>
      <c r="T43" s="272"/>
      <c r="U43" s="272"/>
      <c r="V43" s="272"/>
      <c r="W43" s="272"/>
      <c r="X43" s="273"/>
      <c r="Y43" s="17" t="str">
        <f t="shared" si="3"/>
        <v/>
      </c>
      <c r="Z43" s="111"/>
    </row>
    <row r="44" spans="1:26" ht="11.45" customHeight="1" x14ac:dyDescent="0.25">
      <c r="A44" s="111"/>
      <c r="B44" s="168"/>
      <c r="C44" s="260">
        <v>19</v>
      </c>
      <c r="D44" s="261"/>
      <c r="E44" s="262" t="s">
        <v>59</v>
      </c>
      <c r="F44" s="263"/>
      <c r="G44" s="270">
        <v>0.3</v>
      </c>
      <c r="H44" s="270"/>
      <c r="I44" s="270"/>
      <c r="J44" s="270"/>
      <c r="K44" s="270" t="str">
        <f t="shared" si="0"/>
        <v/>
      </c>
      <c r="L44" s="270"/>
      <c r="M44" s="270"/>
      <c r="N44" s="270"/>
      <c r="O44" s="270" t="str">
        <f t="shared" si="1"/>
        <v/>
      </c>
      <c r="P44" s="270"/>
      <c r="Q44" s="270"/>
      <c r="R44" s="270"/>
      <c r="S44" s="271" t="str">
        <f t="shared" si="4"/>
        <v/>
      </c>
      <c r="T44" s="272"/>
      <c r="U44" s="272"/>
      <c r="V44" s="272"/>
      <c r="W44" s="272"/>
      <c r="X44" s="273"/>
      <c r="Y44" s="17" t="str">
        <f t="shared" si="3"/>
        <v/>
      </c>
      <c r="Z44" s="111"/>
    </row>
    <row r="45" spans="1:26" ht="11.45" customHeight="1" x14ac:dyDescent="0.25">
      <c r="A45" s="111"/>
      <c r="B45" s="168"/>
      <c r="C45" s="260">
        <v>20</v>
      </c>
      <c r="D45" s="261"/>
      <c r="E45" s="262" t="s">
        <v>59</v>
      </c>
      <c r="F45" s="263"/>
      <c r="G45" s="270">
        <v>0.28999999999999998</v>
      </c>
      <c r="H45" s="270"/>
      <c r="I45" s="270"/>
      <c r="J45" s="270"/>
      <c r="K45" s="270" t="str">
        <f t="shared" si="0"/>
        <v/>
      </c>
      <c r="L45" s="270"/>
      <c r="M45" s="270"/>
      <c r="N45" s="270"/>
      <c r="O45" s="270" t="str">
        <f t="shared" si="1"/>
        <v/>
      </c>
      <c r="P45" s="270"/>
      <c r="Q45" s="270"/>
      <c r="R45" s="270"/>
      <c r="S45" s="271" t="str">
        <f t="shared" si="4"/>
        <v/>
      </c>
      <c r="T45" s="272"/>
      <c r="U45" s="272"/>
      <c r="V45" s="272"/>
      <c r="W45" s="272"/>
      <c r="X45" s="273"/>
      <c r="Y45" s="17" t="str">
        <f t="shared" si="3"/>
        <v/>
      </c>
      <c r="Z45" s="111"/>
    </row>
    <row r="46" spans="1:26" ht="11.45" customHeight="1" x14ac:dyDescent="0.25">
      <c r="A46" s="111"/>
      <c r="B46" s="168"/>
      <c r="C46" s="260">
        <v>21</v>
      </c>
      <c r="D46" s="261"/>
      <c r="E46" s="262" t="s">
        <v>59</v>
      </c>
      <c r="F46" s="263"/>
      <c r="G46" s="270">
        <v>0.28000000000000003</v>
      </c>
      <c r="H46" s="270"/>
      <c r="I46" s="270"/>
      <c r="J46" s="270"/>
      <c r="K46" s="270" t="str">
        <f t="shared" si="0"/>
        <v/>
      </c>
      <c r="L46" s="270"/>
      <c r="M46" s="270"/>
      <c r="N46" s="270"/>
      <c r="O46" s="270" t="str">
        <f t="shared" si="1"/>
        <v/>
      </c>
      <c r="P46" s="270"/>
      <c r="Q46" s="270"/>
      <c r="R46" s="270"/>
      <c r="S46" s="271" t="str">
        <f>IF(ISNUMBER(O46),(C46*O46)/12.1,"")</f>
        <v/>
      </c>
      <c r="T46" s="272"/>
      <c r="U46" s="272"/>
      <c r="V46" s="272"/>
      <c r="W46" s="272"/>
      <c r="X46" s="273"/>
      <c r="Y46" s="17" t="str">
        <f t="shared" si="3"/>
        <v/>
      </c>
      <c r="Z46" s="111"/>
    </row>
    <row r="47" spans="1:26" ht="11.45" customHeight="1" x14ac:dyDescent="0.25">
      <c r="A47" s="111"/>
      <c r="B47" s="168"/>
      <c r="C47" s="260">
        <v>22</v>
      </c>
      <c r="D47" s="261"/>
      <c r="E47" s="262" t="s">
        <v>59</v>
      </c>
      <c r="F47" s="263"/>
      <c r="G47" s="270">
        <v>0.27</v>
      </c>
      <c r="H47" s="270"/>
      <c r="I47" s="270"/>
      <c r="J47" s="270"/>
      <c r="K47" s="270" t="str">
        <f t="shared" si="0"/>
        <v/>
      </c>
      <c r="L47" s="270"/>
      <c r="M47" s="270"/>
      <c r="N47" s="270"/>
      <c r="O47" s="270" t="str">
        <f t="shared" si="1"/>
        <v/>
      </c>
      <c r="P47" s="270"/>
      <c r="Q47" s="270"/>
      <c r="R47" s="270"/>
      <c r="S47" s="271" t="str">
        <f t="shared" si="4"/>
        <v/>
      </c>
      <c r="T47" s="272"/>
      <c r="U47" s="272"/>
      <c r="V47" s="272"/>
      <c r="W47" s="272"/>
      <c r="X47" s="273"/>
      <c r="Y47" s="17" t="str">
        <f t="shared" si="3"/>
        <v/>
      </c>
      <c r="Z47" s="111"/>
    </row>
    <row r="48" spans="1:26" ht="11.45" customHeight="1" x14ac:dyDescent="0.25">
      <c r="A48" s="111"/>
      <c r="B48" s="168"/>
      <c r="C48" s="260">
        <v>23</v>
      </c>
      <c r="D48" s="261"/>
      <c r="E48" s="262" t="s">
        <v>59</v>
      </c>
      <c r="F48" s="263"/>
      <c r="G48" s="270">
        <v>0.26</v>
      </c>
      <c r="H48" s="270"/>
      <c r="I48" s="270"/>
      <c r="J48" s="270"/>
      <c r="K48" s="270" t="str">
        <f t="shared" si="0"/>
        <v/>
      </c>
      <c r="L48" s="270"/>
      <c r="M48" s="270"/>
      <c r="N48" s="270"/>
      <c r="O48" s="270" t="str">
        <f t="shared" si="1"/>
        <v/>
      </c>
      <c r="P48" s="270"/>
      <c r="Q48" s="270"/>
      <c r="R48" s="270"/>
      <c r="S48" s="271" t="str">
        <f t="shared" si="4"/>
        <v/>
      </c>
      <c r="T48" s="272"/>
      <c r="U48" s="272"/>
      <c r="V48" s="272"/>
      <c r="W48" s="272"/>
      <c r="X48" s="273"/>
      <c r="Y48" s="17" t="str">
        <f t="shared" si="3"/>
        <v/>
      </c>
      <c r="Z48" s="111"/>
    </row>
    <row r="49" spans="1:26" ht="11.45" customHeight="1" x14ac:dyDescent="0.25">
      <c r="A49" s="111"/>
      <c r="B49" s="168"/>
      <c r="C49" s="260">
        <v>24</v>
      </c>
      <c r="D49" s="261"/>
      <c r="E49" s="262" t="s">
        <v>59</v>
      </c>
      <c r="F49" s="263"/>
      <c r="G49" s="270">
        <v>0.25</v>
      </c>
      <c r="H49" s="270"/>
      <c r="I49" s="270"/>
      <c r="J49" s="270"/>
      <c r="K49" s="270" t="str">
        <f t="shared" si="0"/>
        <v/>
      </c>
      <c r="L49" s="270"/>
      <c r="M49" s="270"/>
      <c r="N49" s="270"/>
      <c r="O49" s="270" t="str">
        <f t="shared" si="1"/>
        <v/>
      </c>
      <c r="P49" s="270"/>
      <c r="Q49" s="270"/>
      <c r="R49" s="270"/>
      <c r="S49" s="271" t="str">
        <f t="shared" si="4"/>
        <v/>
      </c>
      <c r="T49" s="272"/>
      <c r="U49" s="272"/>
      <c r="V49" s="272"/>
      <c r="W49" s="272"/>
      <c r="X49" s="273"/>
      <c r="Y49" s="17" t="str">
        <f t="shared" si="3"/>
        <v/>
      </c>
      <c r="Z49" s="111"/>
    </row>
    <row r="50" spans="1:26" ht="18" customHeight="1" x14ac:dyDescent="0.25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</row>
    <row r="51" spans="1:26" ht="18" customHeight="1" x14ac:dyDescent="0.25">
      <c r="A51" s="127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</row>
    <row r="52" spans="1:26" ht="18" customHeight="1" x14ac:dyDescent="0.25">
      <c r="A52" s="127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</row>
  </sheetData>
  <sheetProtection algorithmName="SHA-512" hashValue="B7WpCFbu9wr8/o0uXfxSmMqhwX239as4kj2evnMh+mG+FfEhzdoKyroWfD6Ed8xwJX+sQv4srdQLjBp5tMe1yA==" saltValue="I2dZvI+4ofmx6lLIU+lU3A==" spinCount="100000" sheet="1" selectLockedCells="1"/>
  <mergeCells count="226">
    <mergeCell ref="A4:Z4"/>
    <mergeCell ref="A5:C5"/>
    <mergeCell ref="D5:P5"/>
    <mergeCell ref="Q5:U5"/>
    <mergeCell ref="V5:Z5"/>
    <mergeCell ref="A6:Z6"/>
    <mergeCell ref="A1:Z1"/>
    <mergeCell ref="A2:Z2"/>
    <mergeCell ref="A3:C3"/>
    <mergeCell ref="D3:P3"/>
    <mergeCell ref="Q3:U3"/>
    <mergeCell ref="V3:Z3"/>
    <mergeCell ref="A7:Z7"/>
    <mergeCell ref="A8:Z8"/>
    <mergeCell ref="A9:A11"/>
    <mergeCell ref="C9:O9"/>
    <mergeCell ref="P9:R9"/>
    <mergeCell ref="S9:X9"/>
    <mergeCell ref="Y9:Z9"/>
    <mergeCell ref="C10:O10"/>
    <mergeCell ref="P10:R10"/>
    <mergeCell ref="S10:X10"/>
    <mergeCell ref="A13:Z13"/>
    <mergeCell ref="A14:Z14"/>
    <mergeCell ref="C15:O15"/>
    <mergeCell ref="P15:R15"/>
    <mergeCell ref="S15:X15"/>
    <mergeCell ref="Y15:Z15"/>
    <mergeCell ref="Y10:Z10"/>
    <mergeCell ref="C11:O11"/>
    <mergeCell ref="P11:R11"/>
    <mergeCell ref="S11:X11"/>
    <mergeCell ref="Y11:Z11"/>
    <mergeCell ref="A12:Z12"/>
    <mergeCell ref="O20:R20"/>
    <mergeCell ref="S20:X20"/>
    <mergeCell ref="A16:Z16"/>
    <mergeCell ref="A17:Z17"/>
    <mergeCell ref="A18:Z18"/>
    <mergeCell ref="A19:B49"/>
    <mergeCell ref="C19:F19"/>
    <mergeCell ref="G19:J19"/>
    <mergeCell ref="K19:N19"/>
    <mergeCell ref="O19:R19"/>
    <mergeCell ref="S19:X19"/>
    <mergeCell ref="Y19:Z19"/>
    <mergeCell ref="K22:N22"/>
    <mergeCell ref="O22:R22"/>
    <mergeCell ref="S22:X22"/>
    <mergeCell ref="C23:D23"/>
    <mergeCell ref="E23:F23"/>
    <mergeCell ref="G23:J23"/>
    <mergeCell ref="K23:N23"/>
    <mergeCell ref="O23:R23"/>
    <mergeCell ref="S23:X23"/>
    <mergeCell ref="C22:D22"/>
    <mergeCell ref="E22:F22"/>
    <mergeCell ref="G22:J22"/>
    <mergeCell ref="C25:D25"/>
    <mergeCell ref="E25:F25"/>
    <mergeCell ref="G25:J25"/>
    <mergeCell ref="K25:N25"/>
    <mergeCell ref="O25:R25"/>
    <mergeCell ref="S25:X25"/>
    <mergeCell ref="C24:D24"/>
    <mergeCell ref="E24:F24"/>
    <mergeCell ref="G24:J24"/>
    <mergeCell ref="K24:N24"/>
    <mergeCell ref="O24:R24"/>
    <mergeCell ref="S24:X24"/>
    <mergeCell ref="C27:D27"/>
    <mergeCell ref="E27:F27"/>
    <mergeCell ref="G27:J27"/>
    <mergeCell ref="K27:N27"/>
    <mergeCell ref="O27:R27"/>
    <mergeCell ref="S27:X27"/>
    <mergeCell ref="C26:D26"/>
    <mergeCell ref="E26:F26"/>
    <mergeCell ref="G26:J26"/>
    <mergeCell ref="K26:N26"/>
    <mergeCell ref="O26:R26"/>
    <mergeCell ref="S26:X26"/>
    <mergeCell ref="C29:D29"/>
    <mergeCell ref="E29:F29"/>
    <mergeCell ref="G29:J29"/>
    <mergeCell ref="K29:N29"/>
    <mergeCell ref="O29:R29"/>
    <mergeCell ref="S29:X29"/>
    <mergeCell ref="C28:D28"/>
    <mergeCell ref="E28:F28"/>
    <mergeCell ref="G28:J28"/>
    <mergeCell ref="K28:N28"/>
    <mergeCell ref="O28:R28"/>
    <mergeCell ref="S28:X28"/>
    <mergeCell ref="C31:D31"/>
    <mergeCell ref="E31:F31"/>
    <mergeCell ref="G31:J31"/>
    <mergeCell ref="K31:N31"/>
    <mergeCell ref="O31:R31"/>
    <mergeCell ref="S31:X31"/>
    <mergeCell ref="C30:D30"/>
    <mergeCell ref="E30:F30"/>
    <mergeCell ref="G30:J30"/>
    <mergeCell ref="K30:N30"/>
    <mergeCell ref="O30:R30"/>
    <mergeCell ref="S30:X30"/>
    <mergeCell ref="C33:D33"/>
    <mergeCell ref="E33:F33"/>
    <mergeCell ref="G33:J33"/>
    <mergeCell ref="K33:N33"/>
    <mergeCell ref="O33:R33"/>
    <mergeCell ref="S33:X33"/>
    <mergeCell ref="C32:D32"/>
    <mergeCell ref="E32:F32"/>
    <mergeCell ref="G32:J32"/>
    <mergeCell ref="K32:N32"/>
    <mergeCell ref="O32:R32"/>
    <mergeCell ref="S32:X32"/>
    <mergeCell ref="C35:D35"/>
    <mergeCell ref="E35:F35"/>
    <mergeCell ref="G35:J35"/>
    <mergeCell ref="K35:N35"/>
    <mergeCell ref="O35:R35"/>
    <mergeCell ref="S35:X35"/>
    <mergeCell ref="C34:D34"/>
    <mergeCell ref="E34:F34"/>
    <mergeCell ref="G34:J34"/>
    <mergeCell ref="K34:N34"/>
    <mergeCell ref="O34:R34"/>
    <mergeCell ref="S34:X34"/>
    <mergeCell ref="C37:D37"/>
    <mergeCell ref="E37:F37"/>
    <mergeCell ref="G37:J37"/>
    <mergeCell ref="K37:N37"/>
    <mergeCell ref="O37:R37"/>
    <mergeCell ref="S37:X37"/>
    <mergeCell ref="C36:D36"/>
    <mergeCell ref="E36:F36"/>
    <mergeCell ref="G36:J36"/>
    <mergeCell ref="K36:N36"/>
    <mergeCell ref="O36:R36"/>
    <mergeCell ref="S36:X36"/>
    <mergeCell ref="C39:D39"/>
    <mergeCell ref="E39:F39"/>
    <mergeCell ref="G39:J39"/>
    <mergeCell ref="K39:N39"/>
    <mergeCell ref="O39:R39"/>
    <mergeCell ref="S39:X39"/>
    <mergeCell ref="C38:D38"/>
    <mergeCell ref="E38:F38"/>
    <mergeCell ref="G38:J38"/>
    <mergeCell ref="K38:N38"/>
    <mergeCell ref="O38:R38"/>
    <mergeCell ref="S38:X38"/>
    <mergeCell ref="C41:D41"/>
    <mergeCell ref="E41:F41"/>
    <mergeCell ref="G41:J41"/>
    <mergeCell ref="K41:N41"/>
    <mergeCell ref="O41:R41"/>
    <mergeCell ref="S41:X41"/>
    <mergeCell ref="C40:D40"/>
    <mergeCell ref="E40:F40"/>
    <mergeCell ref="G40:J40"/>
    <mergeCell ref="K40:N40"/>
    <mergeCell ref="O40:R40"/>
    <mergeCell ref="S40:X40"/>
    <mergeCell ref="C43:D43"/>
    <mergeCell ref="E43:F43"/>
    <mergeCell ref="G43:J43"/>
    <mergeCell ref="K43:N43"/>
    <mergeCell ref="O43:R43"/>
    <mergeCell ref="S43:X43"/>
    <mergeCell ref="C42:D42"/>
    <mergeCell ref="E42:F42"/>
    <mergeCell ref="G42:J42"/>
    <mergeCell ref="K42:N42"/>
    <mergeCell ref="O42:R42"/>
    <mergeCell ref="S42:X42"/>
    <mergeCell ref="C45:D45"/>
    <mergeCell ref="E45:F45"/>
    <mergeCell ref="G45:J45"/>
    <mergeCell ref="K45:N45"/>
    <mergeCell ref="O45:R45"/>
    <mergeCell ref="S45:X45"/>
    <mergeCell ref="C44:D44"/>
    <mergeCell ref="E44:F44"/>
    <mergeCell ref="G44:J44"/>
    <mergeCell ref="K44:N44"/>
    <mergeCell ref="O44:R44"/>
    <mergeCell ref="S44:X44"/>
    <mergeCell ref="C47:D47"/>
    <mergeCell ref="E47:F47"/>
    <mergeCell ref="G47:J47"/>
    <mergeCell ref="K47:N47"/>
    <mergeCell ref="O47:R47"/>
    <mergeCell ref="S47:X47"/>
    <mergeCell ref="C46:D46"/>
    <mergeCell ref="E46:F46"/>
    <mergeCell ref="G46:J46"/>
    <mergeCell ref="K46:N46"/>
    <mergeCell ref="O46:R46"/>
    <mergeCell ref="S46:X46"/>
    <mergeCell ref="A50:Z52"/>
    <mergeCell ref="C49:D49"/>
    <mergeCell ref="E49:F49"/>
    <mergeCell ref="G49:J49"/>
    <mergeCell ref="K49:N49"/>
    <mergeCell ref="O49:R49"/>
    <mergeCell ref="S49:X49"/>
    <mergeCell ref="C48:D48"/>
    <mergeCell ref="E48:F48"/>
    <mergeCell ref="G48:J48"/>
    <mergeCell ref="K48:N48"/>
    <mergeCell ref="O48:R48"/>
    <mergeCell ref="S48:X48"/>
    <mergeCell ref="Z20:Z49"/>
    <mergeCell ref="C21:D21"/>
    <mergeCell ref="E21:F21"/>
    <mergeCell ref="G21:J21"/>
    <mergeCell ref="K21:N21"/>
    <mergeCell ref="O21:R21"/>
    <mergeCell ref="S21:X21"/>
    <mergeCell ref="C20:D20"/>
    <mergeCell ref="E20:F20"/>
    <mergeCell ref="G20:J20"/>
    <mergeCell ref="K20:N20"/>
  </mergeCells>
  <conditionalFormatting sqref="S20:X49">
    <cfRule type="cellIs" dxfId="0" priority="1" operator="equal">
      <formula>$S$15</formula>
    </cfRule>
  </conditionalFormatting>
  <printOptions horizontalCentered="1"/>
  <pageMargins left="1" right="1" top="0.5" bottom="0.5" header="0" footer="0"/>
  <pageSetup orientation="portrait" r:id="rId1"/>
  <headerFooter>
    <oddFooter xml:space="preserve">&amp;L4/7/2022
</oddFooter>
  </headerFooter>
  <colBreaks count="1" manualBreakCount="1">
    <brk id="26" max="1048575" man="1"/>
  </colBreaks>
  <ignoredErrors>
    <ignoredError sqref="A12:Z14 A9:R9 Y9:Z9 A10:R10 Y10:Z10 A11:R11 Y11:Z11 A15:R15 T15:Z1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51"/>
  <sheetViews>
    <sheetView showGridLines="0" zoomScaleNormal="100" zoomScaleSheetLayoutView="130" zoomScalePageLayoutView="145" workbookViewId="0">
      <selection activeCell="D3" sqref="D3:P3"/>
    </sheetView>
  </sheetViews>
  <sheetFormatPr defaultColWidth="3.140625" defaultRowHeight="18" customHeight="1" x14ac:dyDescent="0.25"/>
  <cols>
    <col min="1" max="27" width="3.140625" style="2"/>
    <col min="28" max="29" width="0" style="2" hidden="1" customWidth="1"/>
    <col min="30" max="16384" width="3.140625" style="2"/>
  </cols>
  <sheetData>
    <row r="1" spans="1:29" s="5" customFormat="1" ht="18" customHeight="1" thickBot="1" x14ac:dyDescent="0.3">
      <c r="A1" s="99" t="s">
        <v>175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8"/>
    </row>
    <row r="2" spans="1:29" ht="7.35" customHeight="1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"/>
    </row>
    <row r="3" spans="1:29" ht="18" customHeight="1" x14ac:dyDescent="0.25">
      <c r="A3" s="101" t="s">
        <v>0</v>
      </c>
      <c r="B3" s="101"/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3" t="s">
        <v>1</v>
      </c>
      <c r="R3" s="103"/>
      <c r="S3" s="103"/>
      <c r="T3" s="103"/>
      <c r="U3" s="103"/>
      <c r="V3" s="104"/>
      <c r="W3" s="104"/>
      <c r="X3" s="104"/>
      <c r="Y3" s="104"/>
      <c r="Z3" s="104"/>
      <c r="AA3" s="1"/>
    </row>
    <row r="4" spans="1:29" ht="7.35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1"/>
    </row>
    <row r="5" spans="1:29" ht="18" customHeight="1" x14ac:dyDescent="0.25">
      <c r="A5" s="101" t="s">
        <v>2</v>
      </c>
      <c r="B5" s="101"/>
      <c r="C5" s="101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3" t="s">
        <v>3</v>
      </c>
      <c r="R5" s="103"/>
      <c r="S5" s="103"/>
      <c r="T5" s="103"/>
      <c r="U5" s="103"/>
      <c r="V5" s="104"/>
      <c r="W5" s="104"/>
      <c r="X5" s="104"/>
      <c r="Y5" s="104"/>
      <c r="Z5" s="104"/>
      <c r="AA5" s="1"/>
    </row>
    <row r="6" spans="1:29" ht="7.35" customHeight="1" x14ac:dyDescent="0.2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"/>
    </row>
    <row r="7" spans="1:29" ht="18" customHeight="1" x14ac:dyDescent="0.25">
      <c r="A7" s="280" t="s">
        <v>135</v>
      </c>
      <c r="B7" s="280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1"/>
    </row>
    <row r="8" spans="1:29" ht="7.35" customHeight="1" x14ac:dyDescent="0.25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"/>
    </row>
    <row r="9" spans="1:29" ht="18" customHeight="1" x14ac:dyDescent="0.25">
      <c r="A9" s="22"/>
      <c r="B9" s="127" t="s">
        <v>171</v>
      </c>
      <c r="C9" s="127"/>
      <c r="D9" s="127"/>
      <c r="E9" s="168"/>
      <c r="F9" s="153"/>
      <c r="G9" s="154"/>
      <c r="H9" s="154"/>
      <c r="I9" s="154"/>
      <c r="J9" s="155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1"/>
      <c r="AB9" s="2" t="s">
        <v>136</v>
      </c>
      <c r="AC9" s="2" t="s">
        <v>125</v>
      </c>
    </row>
    <row r="10" spans="1:29" ht="7.35" customHeight="1" x14ac:dyDescent="0.25">
      <c r="A10" s="197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"/>
    </row>
    <row r="11" spans="1:29" ht="18" customHeight="1" x14ac:dyDescent="0.25">
      <c r="A11" s="70" t="s">
        <v>162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1"/>
    </row>
    <row r="12" spans="1:29" ht="7.35" customHeight="1" x14ac:dyDescent="0.25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1"/>
    </row>
    <row r="13" spans="1:29" ht="18" customHeight="1" x14ac:dyDescent="0.2">
      <c r="A13" s="168"/>
      <c r="B13" s="178" t="s">
        <v>124</v>
      </c>
      <c r="C13" s="178"/>
      <c r="D13" s="178"/>
      <c r="E13" s="232"/>
      <c r="F13" s="294" t="s">
        <v>126</v>
      </c>
      <c r="G13" s="295"/>
      <c r="H13" s="295"/>
      <c r="I13" s="295"/>
      <c r="J13" s="296"/>
      <c r="K13" s="294" t="s">
        <v>133</v>
      </c>
      <c r="L13" s="295"/>
      <c r="M13" s="295"/>
      <c r="N13" s="295"/>
      <c r="O13" s="296"/>
      <c r="P13" s="234" t="s">
        <v>172</v>
      </c>
      <c r="Q13" s="179"/>
      <c r="R13" s="179"/>
      <c r="S13" s="179"/>
      <c r="T13" s="179"/>
      <c r="U13" s="298" t="s">
        <v>134</v>
      </c>
      <c r="V13" s="299"/>
      <c r="W13" s="299"/>
      <c r="X13" s="299"/>
      <c r="Y13" s="299"/>
      <c r="Z13" s="199"/>
      <c r="AA13" s="1"/>
    </row>
    <row r="14" spans="1:29" ht="18" customHeight="1" x14ac:dyDescent="0.25">
      <c r="A14" s="168"/>
      <c r="B14" s="178"/>
      <c r="C14" s="178"/>
      <c r="D14" s="178"/>
      <c r="E14" s="232"/>
      <c r="F14" s="300" t="str">
        <f>"("&amp;F9&amp;")"</f>
        <v>()</v>
      </c>
      <c r="G14" s="301"/>
      <c r="H14" s="301"/>
      <c r="I14" s="301"/>
      <c r="J14" s="302"/>
      <c r="K14" s="300" t="str">
        <f>F14</f>
        <v>()</v>
      </c>
      <c r="L14" s="301"/>
      <c r="M14" s="301"/>
      <c r="N14" s="301"/>
      <c r="O14" s="302"/>
      <c r="P14" s="297"/>
      <c r="Q14" s="179"/>
      <c r="R14" s="179"/>
      <c r="S14" s="179"/>
      <c r="T14" s="179"/>
      <c r="U14" s="299"/>
      <c r="V14" s="299"/>
      <c r="W14" s="299"/>
      <c r="X14" s="299"/>
      <c r="Y14" s="299"/>
      <c r="Z14" s="199"/>
      <c r="AA14" s="1"/>
    </row>
    <row r="15" spans="1:29" ht="14.25" customHeight="1" x14ac:dyDescent="0.25">
      <c r="A15" s="168"/>
      <c r="B15" s="83">
        <v>600</v>
      </c>
      <c r="C15" s="83"/>
      <c r="D15" s="83"/>
      <c r="E15" s="83"/>
      <c r="F15" s="83">
        <v>0</v>
      </c>
      <c r="G15" s="83"/>
      <c r="H15" s="83"/>
      <c r="I15" s="83"/>
      <c r="J15" s="83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 t="str">
        <f>IF(F9="","",0)</f>
        <v/>
      </c>
      <c r="V15" s="161"/>
      <c r="W15" s="161"/>
      <c r="X15" s="161"/>
      <c r="Y15" s="161"/>
      <c r="Z15" s="199"/>
      <c r="AA15" s="1"/>
    </row>
    <row r="16" spans="1:29" ht="14.25" customHeight="1" x14ac:dyDescent="0.25">
      <c r="A16" s="168"/>
      <c r="B16" s="231"/>
      <c r="C16" s="231"/>
      <c r="D16" s="231"/>
      <c r="E16" s="231"/>
      <c r="F16" s="231"/>
      <c r="G16" s="231"/>
      <c r="H16" s="231"/>
      <c r="I16" s="231"/>
      <c r="J16" s="231"/>
      <c r="K16" s="161" t="str">
        <f>IF(F$9="","",IF(AND(ISNUMBER(F15),ISNUMBER(F17)),(F15+F17)/2,""))</f>
        <v/>
      </c>
      <c r="L16" s="161"/>
      <c r="M16" s="161"/>
      <c r="N16" s="161"/>
      <c r="O16" s="161"/>
      <c r="P16" s="161" t="str">
        <f>IF(F$9="","",IF($F$9=$AB$9,
IF(AND(ISNUMBER(B17),ISNUMBER(B15),ISNUMBER(K16)),(B17-B15)*K16/43560,""),
IF(AND(ISNUMBER(B17),ISNUMBER(B15),ISNUMBER(K16)),(B17-B15)*K16,"")))</f>
        <v/>
      </c>
      <c r="Q16" s="161"/>
      <c r="R16" s="161"/>
      <c r="S16" s="161"/>
      <c r="T16" s="161"/>
      <c r="U16" s="161" t="str">
        <f>IF(F$9="","",IF(AND(ISNUMBER(P15),ISNUMBER(U14)),U14+P15,""))</f>
        <v/>
      </c>
      <c r="V16" s="161"/>
      <c r="W16" s="161"/>
      <c r="X16" s="161"/>
      <c r="Y16" s="161"/>
      <c r="Z16" s="199"/>
      <c r="AA16" s="1"/>
    </row>
    <row r="17" spans="1:27" ht="14.25" customHeight="1" x14ac:dyDescent="0.25">
      <c r="A17" s="168"/>
      <c r="B17" s="83">
        <v>601</v>
      </c>
      <c r="C17" s="83"/>
      <c r="D17" s="83"/>
      <c r="E17" s="83"/>
      <c r="F17" s="164">
        <v>1</v>
      </c>
      <c r="G17" s="165"/>
      <c r="H17" s="165"/>
      <c r="I17" s="165"/>
      <c r="J17" s="166"/>
      <c r="K17" s="161" t="str">
        <f t="shared" ref="K17:K29" si="0">IF(F$9="","",IF(AND(ISNUMBER(F16),ISNUMBER(F18)),(F16+F18)/2,""))</f>
        <v/>
      </c>
      <c r="L17" s="161"/>
      <c r="M17" s="161"/>
      <c r="N17" s="161"/>
      <c r="O17" s="161"/>
      <c r="P17" s="161" t="str">
        <f t="shared" ref="P17:P29" si="1">IF(F$9="","",IF($F$9=$AB$9,
IF(AND(ISNUMBER(B18),ISNUMBER(B16),ISNUMBER(K17)),(B18-B16)*K17/43560,""),
IF(AND(ISNUMBER(B18),ISNUMBER(B16),ISNUMBER(K17)),(B18-B16)*K17,"")))</f>
        <v/>
      </c>
      <c r="Q17" s="161"/>
      <c r="R17" s="161"/>
      <c r="S17" s="161"/>
      <c r="T17" s="161"/>
      <c r="U17" s="161" t="str">
        <f t="shared" ref="U17:U29" si="2">IF(F$9="","",IF(AND(ISNUMBER(P16),ISNUMBER(U15)),U15+P16,""))</f>
        <v/>
      </c>
      <c r="V17" s="161"/>
      <c r="W17" s="161"/>
      <c r="X17" s="161"/>
      <c r="Y17" s="161"/>
      <c r="Z17" s="199"/>
      <c r="AA17" s="1"/>
    </row>
    <row r="18" spans="1:27" ht="14.25" customHeight="1" x14ac:dyDescent="0.25">
      <c r="A18" s="168"/>
      <c r="B18" s="231"/>
      <c r="C18" s="231"/>
      <c r="D18" s="231"/>
      <c r="E18" s="231"/>
      <c r="F18" s="236"/>
      <c r="G18" s="237"/>
      <c r="H18" s="237"/>
      <c r="I18" s="237"/>
      <c r="J18" s="238"/>
      <c r="K18" s="161" t="str">
        <f t="shared" si="0"/>
        <v/>
      </c>
      <c r="L18" s="161"/>
      <c r="M18" s="161"/>
      <c r="N18" s="161"/>
      <c r="O18" s="161"/>
      <c r="P18" s="161" t="str">
        <f t="shared" si="1"/>
        <v/>
      </c>
      <c r="Q18" s="161"/>
      <c r="R18" s="161"/>
      <c r="S18" s="161"/>
      <c r="T18" s="161"/>
      <c r="U18" s="161" t="str">
        <f t="shared" si="2"/>
        <v/>
      </c>
      <c r="V18" s="161"/>
      <c r="W18" s="161"/>
      <c r="X18" s="161"/>
      <c r="Y18" s="161"/>
      <c r="Z18" s="199"/>
      <c r="AA18" s="1"/>
    </row>
    <row r="19" spans="1:27" ht="14.25" customHeight="1" x14ac:dyDescent="0.25">
      <c r="A19" s="168"/>
      <c r="B19" s="83">
        <v>602</v>
      </c>
      <c r="C19" s="83"/>
      <c r="D19" s="83"/>
      <c r="E19" s="83"/>
      <c r="F19" s="164">
        <v>2</v>
      </c>
      <c r="G19" s="165"/>
      <c r="H19" s="165"/>
      <c r="I19" s="165"/>
      <c r="J19" s="166"/>
      <c r="K19" s="161" t="str">
        <f t="shared" si="0"/>
        <v/>
      </c>
      <c r="L19" s="161"/>
      <c r="M19" s="161"/>
      <c r="N19" s="161"/>
      <c r="O19" s="161"/>
      <c r="P19" s="161" t="str">
        <f t="shared" si="1"/>
        <v/>
      </c>
      <c r="Q19" s="161"/>
      <c r="R19" s="161"/>
      <c r="S19" s="161"/>
      <c r="T19" s="161"/>
      <c r="U19" s="161" t="str">
        <f t="shared" si="2"/>
        <v/>
      </c>
      <c r="V19" s="161"/>
      <c r="W19" s="161"/>
      <c r="X19" s="161"/>
      <c r="Y19" s="161"/>
      <c r="Z19" s="199"/>
      <c r="AA19" s="1"/>
    </row>
    <row r="20" spans="1:27" ht="14.25" customHeight="1" x14ac:dyDescent="0.25">
      <c r="A20" s="168"/>
      <c r="B20" s="231"/>
      <c r="C20" s="231"/>
      <c r="D20" s="231"/>
      <c r="E20" s="231"/>
      <c r="F20" s="236"/>
      <c r="G20" s="237"/>
      <c r="H20" s="237"/>
      <c r="I20" s="237"/>
      <c r="J20" s="238"/>
      <c r="K20" s="161" t="str">
        <f t="shared" si="0"/>
        <v/>
      </c>
      <c r="L20" s="161"/>
      <c r="M20" s="161"/>
      <c r="N20" s="161"/>
      <c r="O20" s="161"/>
      <c r="P20" s="161" t="str">
        <f t="shared" si="1"/>
        <v/>
      </c>
      <c r="Q20" s="161"/>
      <c r="R20" s="161"/>
      <c r="S20" s="161"/>
      <c r="T20" s="161"/>
      <c r="U20" s="161" t="str">
        <f t="shared" si="2"/>
        <v/>
      </c>
      <c r="V20" s="161"/>
      <c r="W20" s="161"/>
      <c r="X20" s="161"/>
      <c r="Y20" s="161"/>
      <c r="Z20" s="199"/>
      <c r="AA20" s="1"/>
    </row>
    <row r="21" spans="1:27" ht="14.25" customHeight="1" x14ac:dyDescent="0.25">
      <c r="A21" s="168"/>
      <c r="B21" s="83">
        <v>603</v>
      </c>
      <c r="C21" s="83"/>
      <c r="D21" s="83"/>
      <c r="E21" s="83"/>
      <c r="F21" s="164">
        <v>3</v>
      </c>
      <c r="G21" s="165"/>
      <c r="H21" s="165"/>
      <c r="I21" s="165"/>
      <c r="J21" s="166"/>
      <c r="K21" s="161" t="str">
        <f t="shared" si="0"/>
        <v/>
      </c>
      <c r="L21" s="161"/>
      <c r="M21" s="161"/>
      <c r="N21" s="161"/>
      <c r="O21" s="161"/>
      <c r="P21" s="161" t="str">
        <f t="shared" si="1"/>
        <v/>
      </c>
      <c r="Q21" s="161"/>
      <c r="R21" s="161"/>
      <c r="S21" s="161"/>
      <c r="T21" s="161"/>
      <c r="U21" s="161" t="str">
        <f t="shared" si="2"/>
        <v/>
      </c>
      <c r="V21" s="161"/>
      <c r="W21" s="161"/>
      <c r="X21" s="161"/>
      <c r="Y21" s="161"/>
      <c r="Z21" s="199"/>
      <c r="AA21" s="1"/>
    </row>
    <row r="22" spans="1:27" ht="14.25" customHeight="1" x14ac:dyDescent="0.25">
      <c r="A22" s="168"/>
      <c r="B22" s="231"/>
      <c r="C22" s="231"/>
      <c r="D22" s="231"/>
      <c r="E22" s="231"/>
      <c r="F22" s="236"/>
      <c r="G22" s="237"/>
      <c r="H22" s="237"/>
      <c r="I22" s="237"/>
      <c r="J22" s="238"/>
      <c r="K22" s="161" t="str">
        <f t="shared" si="0"/>
        <v/>
      </c>
      <c r="L22" s="161"/>
      <c r="M22" s="161"/>
      <c r="N22" s="161"/>
      <c r="O22" s="161"/>
      <c r="P22" s="161" t="str">
        <f t="shared" si="1"/>
        <v/>
      </c>
      <c r="Q22" s="161"/>
      <c r="R22" s="161"/>
      <c r="S22" s="161"/>
      <c r="T22" s="161"/>
      <c r="U22" s="161" t="str">
        <f t="shared" si="2"/>
        <v/>
      </c>
      <c r="V22" s="161"/>
      <c r="W22" s="161"/>
      <c r="X22" s="161"/>
      <c r="Y22" s="161"/>
      <c r="Z22" s="199"/>
      <c r="AA22" s="1"/>
    </row>
    <row r="23" spans="1:27" ht="14.25" customHeight="1" x14ac:dyDescent="0.25">
      <c r="A23" s="168"/>
      <c r="B23" s="83">
        <v>604</v>
      </c>
      <c r="C23" s="83"/>
      <c r="D23" s="83"/>
      <c r="E23" s="83"/>
      <c r="F23" s="83">
        <v>4</v>
      </c>
      <c r="G23" s="83"/>
      <c r="H23" s="83"/>
      <c r="I23" s="83"/>
      <c r="J23" s="83"/>
      <c r="K23" s="161" t="str">
        <f t="shared" si="0"/>
        <v/>
      </c>
      <c r="L23" s="161"/>
      <c r="M23" s="161"/>
      <c r="N23" s="161"/>
      <c r="O23" s="161"/>
      <c r="P23" s="161" t="str">
        <f t="shared" si="1"/>
        <v/>
      </c>
      <c r="Q23" s="161"/>
      <c r="R23" s="161"/>
      <c r="S23" s="161"/>
      <c r="T23" s="161"/>
      <c r="U23" s="161" t="str">
        <f t="shared" si="2"/>
        <v/>
      </c>
      <c r="V23" s="161"/>
      <c r="W23" s="161"/>
      <c r="X23" s="161"/>
      <c r="Y23" s="161"/>
      <c r="Z23" s="199"/>
      <c r="AA23" s="1"/>
    </row>
    <row r="24" spans="1:27" ht="14.25" customHeight="1" x14ac:dyDescent="0.25">
      <c r="A24" s="168"/>
      <c r="B24" s="231"/>
      <c r="C24" s="231"/>
      <c r="D24" s="231"/>
      <c r="E24" s="231"/>
      <c r="F24" s="231"/>
      <c r="G24" s="231"/>
      <c r="H24" s="231"/>
      <c r="I24" s="231"/>
      <c r="J24" s="231"/>
      <c r="K24" s="161" t="str">
        <f t="shared" si="0"/>
        <v/>
      </c>
      <c r="L24" s="161"/>
      <c r="M24" s="161"/>
      <c r="N24" s="161"/>
      <c r="O24" s="161"/>
      <c r="P24" s="161" t="str">
        <f t="shared" si="1"/>
        <v/>
      </c>
      <c r="Q24" s="161"/>
      <c r="R24" s="161"/>
      <c r="S24" s="161"/>
      <c r="T24" s="161"/>
      <c r="U24" s="161" t="str">
        <f t="shared" si="2"/>
        <v/>
      </c>
      <c r="V24" s="161"/>
      <c r="W24" s="161"/>
      <c r="X24" s="161"/>
      <c r="Y24" s="161"/>
      <c r="Z24" s="199"/>
      <c r="AA24" s="1"/>
    </row>
    <row r="25" spans="1:27" ht="14.25" customHeight="1" x14ac:dyDescent="0.25">
      <c r="A25" s="168"/>
      <c r="B25" s="83">
        <v>605</v>
      </c>
      <c r="C25" s="83"/>
      <c r="D25" s="83"/>
      <c r="E25" s="83"/>
      <c r="F25" s="83">
        <v>5</v>
      </c>
      <c r="G25" s="83"/>
      <c r="H25" s="83"/>
      <c r="I25" s="83"/>
      <c r="J25" s="83"/>
      <c r="K25" s="161" t="str">
        <f t="shared" si="0"/>
        <v/>
      </c>
      <c r="L25" s="161"/>
      <c r="M25" s="161"/>
      <c r="N25" s="161"/>
      <c r="O25" s="161"/>
      <c r="P25" s="161" t="str">
        <f t="shared" si="1"/>
        <v/>
      </c>
      <c r="Q25" s="161"/>
      <c r="R25" s="161"/>
      <c r="S25" s="161"/>
      <c r="T25" s="161"/>
      <c r="U25" s="161" t="str">
        <f t="shared" si="2"/>
        <v/>
      </c>
      <c r="V25" s="161"/>
      <c r="W25" s="161"/>
      <c r="X25" s="161"/>
      <c r="Y25" s="161"/>
      <c r="Z25" s="199"/>
      <c r="AA25" s="1"/>
    </row>
    <row r="26" spans="1:27" ht="14.25" customHeight="1" x14ac:dyDescent="0.25">
      <c r="A26" s="168"/>
      <c r="B26" s="231"/>
      <c r="C26" s="231"/>
      <c r="D26" s="231"/>
      <c r="E26" s="231"/>
      <c r="F26" s="231"/>
      <c r="G26" s="231"/>
      <c r="H26" s="231"/>
      <c r="I26" s="231"/>
      <c r="J26" s="231"/>
      <c r="K26" s="161" t="str">
        <f t="shared" si="0"/>
        <v/>
      </c>
      <c r="L26" s="161"/>
      <c r="M26" s="161"/>
      <c r="N26" s="161"/>
      <c r="O26" s="161"/>
      <c r="P26" s="161" t="str">
        <f t="shared" si="1"/>
        <v/>
      </c>
      <c r="Q26" s="161"/>
      <c r="R26" s="161"/>
      <c r="S26" s="161"/>
      <c r="T26" s="161"/>
      <c r="U26" s="161" t="str">
        <f t="shared" si="2"/>
        <v/>
      </c>
      <c r="V26" s="161"/>
      <c r="W26" s="161"/>
      <c r="X26" s="161"/>
      <c r="Y26" s="161"/>
      <c r="Z26" s="199"/>
      <c r="AA26" s="1"/>
    </row>
    <row r="27" spans="1:27" ht="14.25" customHeight="1" x14ac:dyDescent="0.25">
      <c r="A27" s="168"/>
      <c r="B27" s="83">
        <v>606</v>
      </c>
      <c r="C27" s="83"/>
      <c r="D27" s="83"/>
      <c r="E27" s="83"/>
      <c r="F27" s="83">
        <v>6</v>
      </c>
      <c r="G27" s="83"/>
      <c r="H27" s="83"/>
      <c r="I27" s="83"/>
      <c r="J27" s="83"/>
      <c r="K27" s="161" t="str">
        <f t="shared" si="0"/>
        <v/>
      </c>
      <c r="L27" s="161"/>
      <c r="M27" s="161"/>
      <c r="N27" s="161"/>
      <c r="O27" s="161"/>
      <c r="P27" s="161" t="str">
        <f t="shared" si="1"/>
        <v/>
      </c>
      <c r="Q27" s="161"/>
      <c r="R27" s="161"/>
      <c r="S27" s="161"/>
      <c r="T27" s="161"/>
      <c r="U27" s="161" t="str">
        <f t="shared" si="2"/>
        <v/>
      </c>
      <c r="V27" s="161"/>
      <c r="W27" s="161"/>
      <c r="X27" s="161"/>
      <c r="Y27" s="161"/>
      <c r="Z27" s="199"/>
      <c r="AA27" s="1"/>
    </row>
    <row r="28" spans="1:27" ht="14.25" customHeight="1" x14ac:dyDescent="0.25">
      <c r="A28" s="168"/>
      <c r="B28" s="231"/>
      <c r="C28" s="231"/>
      <c r="D28" s="231"/>
      <c r="E28" s="231"/>
      <c r="F28" s="231"/>
      <c r="G28" s="231"/>
      <c r="H28" s="231"/>
      <c r="I28" s="231"/>
      <c r="J28" s="231"/>
      <c r="K28" s="161" t="str">
        <f t="shared" si="0"/>
        <v/>
      </c>
      <c r="L28" s="161"/>
      <c r="M28" s="161"/>
      <c r="N28" s="161"/>
      <c r="O28" s="161"/>
      <c r="P28" s="161" t="str">
        <f t="shared" si="1"/>
        <v/>
      </c>
      <c r="Q28" s="161"/>
      <c r="R28" s="161"/>
      <c r="S28" s="161"/>
      <c r="T28" s="161"/>
      <c r="U28" s="161" t="str">
        <f t="shared" si="2"/>
        <v/>
      </c>
      <c r="V28" s="161"/>
      <c r="W28" s="161"/>
      <c r="X28" s="161"/>
      <c r="Y28" s="161"/>
      <c r="Z28" s="199"/>
      <c r="AA28" s="1"/>
    </row>
    <row r="29" spans="1:27" ht="14.25" customHeight="1" x14ac:dyDescent="0.25">
      <c r="A29" s="168"/>
      <c r="B29" s="83">
        <v>607</v>
      </c>
      <c r="C29" s="83"/>
      <c r="D29" s="83"/>
      <c r="E29" s="83"/>
      <c r="F29" s="83">
        <v>7</v>
      </c>
      <c r="G29" s="83"/>
      <c r="H29" s="83"/>
      <c r="I29" s="83"/>
      <c r="J29" s="83"/>
      <c r="K29" s="161" t="str">
        <f t="shared" si="0"/>
        <v/>
      </c>
      <c r="L29" s="161"/>
      <c r="M29" s="161"/>
      <c r="N29" s="161"/>
      <c r="O29" s="161"/>
      <c r="P29" s="161" t="str">
        <f t="shared" si="1"/>
        <v/>
      </c>
      <c r="Q29" s="161"/>
      <c r="R29" s="161"/>
      <c r="S29" s="161"/>
      <c r="T29" s="161"/>
      <c r="U29" s="161" t="str">
        <f t="shared" si="2"/>
        <v/>
      </c>
      <c r="V29" s="161"/>
      <c r="W29" s="161"/>
      <c r="X29" s="161"/>
      <c r="Y29" s="161"/>
      <c r="Z29" s="199"/>
      <c r="AA29" s="1"/>
    </row>
    <row r="30" spans="1:27" ht="7.35" customHeight="1" x14ac:dyDescent="0.25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"/>
    </row>
    <row r="31" spans="1:27" ht="18" customHeight="1" x14ac:dyDescent="0.25">
      <c r="A31" s="70" t="s">
        <v>123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1"/>
    </row>
    <row r="32" spans="1:27" ht="7.35" customHeight="1" x14ac:dyDescent="0.25">
      <c r="A32" s="293"/>
      <c r="B32" s="293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</row>
    <row r="33" spans="1:26" ht="18" customHeight="1" x14ac:dyDescent="0.25">
      <c r="A33" s="293"/>
      <c r="B33" s="293"/>
      <c r="C33" s="293"/>
      <c r="D33" s="293"/>
      <c r="E33" s="293"/>
      <c r="F33" s="293"/>
      <c r="G33" s="293"/>
      <c r="H33" s="293"/>
      <c r="I33" s="293"/>
      <c r="J33" s="303"/>
      <c r="K33" s="281" t="s">
        <v>137</v>
      </c>
      <c r="L33" s="282"/>
      <c r="M33" s="282"/>
      <c r="N33" s="282"/>
      <c r="O33" s="283"/>
      <c r="P33" s="281" t="s">
        <v>138</v>
      </c>
      <c r="Q33" s="282"/>
      <c r="R33" s="282"/>
      <c r="S33" s="282"/>
      <c r="T33" s="283"/>
      <c r="U33" s="172" t="s">
        <v>140</v>
      </c>
      <c r="V33" s="173"/>
      <c r="W33" s="173"/>
      <c r="X33" s="173"/>
      <c r="Y33" s="174"/>
      <c r="Z33" s="199"/>
    </row>
    <row r="34" spans="1:26" ht="18" customHeight="1" x14ac:dyDescent="0.25">
      <c r="A34" s="293"/>
      <c r="B34" s="293"/>
      <c r="C34" s="293"/>
      <c r="D34" s="293"/>
      <c r="E34" s="293"/>
      <c r="F34" s="293"/>
      <c r="G34" s="293"/>
      <c r="H34" s="293"/>
      <c r="I34" s="293"/>
      <c r="J34" s="303"/>
      <c r="K34" s="284"/>
      <c r="L34" s="285"/>
      <c r="M34" s="285"/>
      <c r="N34" s="285"/>
      <c r="O34" s="286"/>
      <c r="P34" s="284"/>
      <c r="Q34" s="285"/>
      <c r="R34" s="285"/>
      <c r="S34" s="285"/>
      <c r="T34" s="286"/>
      <c r="U34" s="290"/>
      <c r="V34" s="291"/>
      <c r="W34" s="291"/>
      <c r="X34" s="291"/>
      <c r="Y34" s="292"/>
      <c r="Z34" s="199"/>
    </row>
    <row r="35" spans="1:26" ht="14.25" customHeight="1" x14ac:dyDescent="0.25">
      <c r="A35" s="293"/>
      <c r="B35" s="293"/>
      <c r="C35" s="293"/>
      <c r="D35" s="293"/>
      <c r="E35" s="293"/>
      <c r="F35" s="293"/>
      <c r="G35" s="293"/>
      <c r="H35" s="293"/>
      <c r="I35" s="293"/>
      <c r="J35" s="303"/>
      <c r="K35" s="287"/>
      <c r="L35" s="288"/>
      <c r="M35" s="288"/>
      <c r="N35" s="288"/>
      <c r="O35" s="289"/>
      <c r="P35" s="287"/>
      <c r="Q35" s="288"/>
      <c r="R35" s="288"/>
      <c r="S35" s="288"/>
      <c r="T35" s="289"/>
      <c r="U35" s="79" t="str">
        <f>IF(AND(ISNUMBER(K35),ISNUMBER(P35)),(((PI()/4)*((K35/12)^2))*P35)/43560,"")</f>
        <v/>
      </c>
      <c r="V35" s="80"/>
      <c r="W35" s="80"/>
      <c r="X35" s="80"/>
      <c r="Y35" s="81"/>
      <c r="Z35" s="199"/>
    </row>
    <row r="36" spans="1:26" ht="14.25" customHeight="1" x14ac:dyDescent="0.25">
      <c r="A36" s="293"/>
      <c r="B36" s="293"/>
      <c r="C36" s="293"/>
      <c r="D36" s="293"/>
      <c r="E36" s="293"/>
      <c r="F36" s="293"/>
      <c r="G36" s="293"/>
      <c r="H36" s="293"/>
      <c r="I36" s="293"/>
      <c r="J36" s="303"/>
      <c r="K36" s="156"/>
      <c r="L36" s="157"/>
      <c r="M36" s="157"/>
      <c r="N36" s="157"/>
      <c r="O36" s="158"/>
      <c r="P36" s="156"/>
      <c r="Q36" s="157"/>
      <c r="R36" s="157"/>
      <c r="S36" s="157"/>
      <c r="T36" s="158"/>
      <c r="U36" s="79" t="str">
        <f t="shared" ref="U36:U42" si="3">IF(AND(ISNUMBER(K36),ISNUMBER(P36)),(((PI()/4)*((K36/12)^2))*P36)/43560,"")</f>
        <v/>
      </c>
      <c r="V36" s="80"/>
      <c r="W36" s="80"/>
      <c r="X36" s="80"/>
      <c r="Y36" s="81"/>
      <c r="Z36" s="199"/>
    </row>
    <row r="37" spans="1:26" ht="14.25" customHeight="1" x14ac:dyDescent="0.25">
      <c r="A37" s="293"/>
      <c r="B37" s="293"/>
      <c r="C37" s="293"/>
      <c r="D37" s="293"/>
      <c r="E37" s="293"/>
      <c r="F37" s="293"/>
      <c r="G37" s="293"/>
      <c r="H37" s="293"/>
      <c r="I37" s="293"/>
      <c r="J37" s="303"/>
      <c r="K37" s="156"/>
      <c r="L37" s="157"/>
      <c r="M37" s="157"/>
      <c r="N37" s="157"/>
      <c r="O37" s="158"/>
      <c r="P37" s="156"/>
      <c r="Q37" s="157"/>
      <c r="R37" s="157"/>
      <c r="S37" s="157"/>
      <c r="T37" s="158"/>
      <c r="U37" s="79" t="str">
        <f t="shared" si="3"/>
        <v/>
      </c>
      <c r="V37" s="80"/>
      <c r="W37" s="80"/>
      <c r="X37" s="80"/>
      <c r="Y37" s="81"/>
      <c r="Z37" s="199"/>
    </row>
    <row r="38" spans="1:26" ht="14.25" customHeight="1" x14ac:dyDescent="0.25">
      <c r="A38" s="293"/>
      <c r="B38" s="293"/>
      <c r="C38" s="293"/>
      <c r="D38" s="293"/>
      <c r="E38" s="293"/>
      <c r="F38" s="293"/>
      <c r="G38" s="293"/>
      <c r="H38" s="293"/>
      <c r="I38" s="293"/>
      <c r="J38" s="303"/>
      <c r="K38" s="156"/>
      <c r="L38" s="157"/>
      <c r="M38" s="157"/>
      <c r="N38" s="157"/>
      <c r="O38" s="158"/>
      <c r="P38" s="156"/>
      <c r="Q38" s="157"/>
      <c r="R38" s="157"/>
      <c r="S38" s="157"/>
      <c r="T38" s="158"/>
      <c r="U38" s="79" t="str">
        <f t="shared" si="3"/>
        <v/>
      </c>
      <c r="V38" s="80"/>
      <c r="W38" s="80"/>
      <c r="X38" s="80"/>
      <c r="Y38" s="81"/>
      <c r="Z38" s="199"/>
    </row>
    <row r="39" spans="1:26" ht="14.25" customHeight="1" x14ac:dyDescent="0.25">
      <c r="A39" s="293"/>
      <c r="B39" s="293"/>
      <c r="C39" s="293"/>
      <c r="D39" s="293"/>
      <c r="E39" s="293"/>
      <c r="F39" s="293"/>
      <c r="G39" s="293"/>
      <c r="H39" s="293"/>
      <c r="I39" s="293"/>
      <c r="J39" s="303"/>
      <c r="K39" s="156"/>
      <c r="L39" s="157"/>
      <c r="M39" s="157"/>
      <c r="N39" s="157"/>
      <c r="O39" s="158"/>
      <c r="P39" s="156"/>
      <c r="Q39" s="157"/>
      <c r="R39" s="157"/>
      <c r="S39" s="157"/>
      <c r="T39" s="158"/>
      <c r="U39" s="79" t="str">
        <f t="shared" si="3"/>
        <v/>
      </c>
      <c r="V39" s="80"/>
      <c r="W39" s="80"/>
      <c r="X39" s="80"/>
      <c r="Y39" s="81"/>
      <c r="Z39" s="199"/>
    </row>
    <row r="40" spans="1:26" ht="14.25" customHeight="1" x14ac:dyDescent="0.25">
      <c r="A40" s="293"/>
      <c r="B40" s="293"/>
      <c r="C40" s="293"/>
      <c r="D40" s="293"/>
      <c r="E40" s="293"/>
      <c r="F40" s="293"/>
      <c r="G40" s="293"/>
      <c r="H40" s="293"/>
      <c r="I40" s="293"/>
      <c r="J40" s="303"/>
      <c r="K40" s="156"/>
      <c r="L40" s="157"/>
      <c r="M40" s="157"/>
      <c r="N40" s="157"/>
      <c r="O40" s="158"/>
      <c r="P40" s="156"/>
      <c r="Q40" s="157"/>
      <c r="R40" s="157"/>
      <c r="S40" s="157"/>
      <c r="T40" s="158"/>
      <c r="U40" s="79" t="str">
        <f t="shared" si="3"/>
        <v/>
      </c>
      <c r="V40" s="80"/>
      <c r="W40" s="80"/>
      <c r="X40" s="80"/>
      <c r="Y40" s="81"/>
      <c r="Z40" s="199"/>
    </row>
    <row r="41" spans="1:26" ht="14.25" customHeight="1" x14ac:dyDescent="0.25">
      <c r="A41" s="293"/>
      <c r="B41" s="293"/>
      <c r="C41" s="293"/>
      <c r="D41" s="293"/>
      <c r="E41" s="293"/>
      <c r="F41" s="293"/>
      <c r="G41" s="293"/>
      <c r="H41" s="293"/>
      <c r="I41" s="293"/>
      <c r="J41" s="303"/>
      <c r="K41" s="156"/>
      <c r="L41" s="157"/>
      <c r="M41" s="157"/>
      <c r="N41" s="157"/>
      <c r="O41" s="158"/>
      <c r="P41" s="156"/>
      <c r="Q41" s="157"/>
      <c r="R41" s="157"/>
      <c r="S41" s="157"/>
      <c r="T41" s="158"/>
      <c r="U41" s="79" t="str">
        <f t="shared" si="3"/>
        <v/>
      </c>
      <c r="V41" s="80"/>
      <c r="W41" s="80"/>
      <c r="X41" s="80"/>
      <c r="Y41" s="81"/>
      <c r="Z41" s="199"/>
    </row>
    <row r="42" spans="1:26" ht="14.25" customHeight="1" x14ac:dyDescent="0.25">
      <c r="A42" s="293"/>
      <c r="B42" s="293"/>
      <c r="C42" s="293"/>
      <c r="D42" s="293"/>
      <c r="E42" s="293"/>
      <c r="F42" s="293"/>
      <c r="G42" s="293"/>
      <c r="H42" s="293"/>
      <c r="I42" s="293"/>
      <c r="J42" s="303"/>
      <c r="K42" s="156"/>
      <c r="L42" s="157"/>
      <c r="M42" s="157"/>
      <c r="N42" s="157"/>
      <c r="O42" s="158"/>
      <c r="P42" s="156"/>
      <c r="Q42" s="157"/>
      <c r="R42" s="157"/>
      <c r="S42" s="157"/>
      <c r="T42" s="158"/>
      <c r="U42" s="79" t="str">
        <f t="shared" si="3"/>
        <v/>
      </c>
      <c r="V42" s="80"/>
      <c r="W42" s="80"/>
      <c r="X42" s="80"/>
      <c r="Y42" s="81"/>
      <c r="Z42" s="199"/>
    </row>
    <row r="43" spans="1:26" ht="7.35" customHeight="1" x14ac:dyDescent="0.25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</row>
    <row r="44" spans="1:26" ht="18" customHeight="1" x14ac:dyDescent="0.25">
      <c r="A44" s="280" t="s">
        <v>139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</row>
    <row r="45" spans="1:26" ht="7.35" customHeight="1" x14ac:dyDescent="0.25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</row>
    <row r="46" spans="1:26" ht="36" customHeight="1" x14ac:dyDescent="0.25">
      <c r="A46" s="308" t="s">
        <v>163</v>
      </c>
      <c r="B46" s="308"/>
      <c r="C46" s="308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9"/>
      <c r="U46" s="310">
        <f>MAX(U15:Y29)</f>
        <v>0</v>
      </c>
      <c r="V46" s="311"/>
      <c r="W46" s="311"/>
      <c r="X46" s="311"/>
      <c r="Y46" s="297"/>
      <c r="Z46" s="199"/>
    </row>
    <row r="47" spans="1:26" ht="18" customHeight="1" x14ac:dyDescent="0.25">
      <c r="A47" s="308" t="s">
        <v>141</v>
      </c>
      <c r="B47" s="308"/>
      <c r="C47" s="308"/>
      <c r="D47" s="308"/>
      <c r="E47" s="308"/>
      <c r="F47" s="308"/>
      <c r="G47" s="308"/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  <c r="S47" s="308"/>
      <c r="T47" s="309"/>
      <c r="U47" s="304">
        <f>SUM(U35:Y42)</f>
        <v>0</v>
      </c>
      <c r="V47" s="176"/>
      <c r="W47" s="176"/>
      <c r="X47" s="176"/>
      <c r="Y47" s="177"/>
      <c r="Z47" s="199"/>
    </row>
    <row r="48" spans="1:26" ht="18" customHeight="1" x14ac:dyDescent="0.25">
      <c r="A48" s="308"/>
      <c r="B48" s="308"/>
      <c r="C48" s="308"/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  <c r="S48" s="308"/>
      <c r="T48" s="309"/>
      <c r="U48" s="305"/>
      <c r="V48" s="134"/>
      <c r="W48" s="134"/>
      <c r="X48" s="134"/>
      <c r="Y48" s="306"/>
      <c r="Z48" s="199"/>
    </row>
    <row r="49" spans="1:26" ht="7.35" customHeight="1" thickBot="1" x14ac:dyDescent="0.3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</row>
    <row r="50" spans="1:26" ht="18" customHeight="1" x14ac:dyDescent="0.25">
      <c r="A50" s="182" t="s">
        <v>142</v>
      </c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307"/>
      <c r="U50" s="120">
        <f>SUM(U46:Y48)</f>
        <v>0</v>
      </c>
      <c r="V50" s="121"/>
      <c r="W50" s="121"/>
      <c r="X50" s="121"/>
      <c r="Y50" s="122"/>
      <c r="Z50" s="126"/>
    </row>
    <row r="51" spans="1:26" ht="18" customHeight="1" thickBot="1" x14ac:dyDescent="0.3">
      <c r="A51" s="182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307"/>
      <c r="U51" s="123"/>
      <c r="V51" s="124"/>
      <c r="W51" s="124"/>
      <c r="X51" s="124"/>
      <c r="Y51" s="125"/>
      <c r="Z51" s="126"/>
    </row>
  </sheetData>
  <sheetProtection algorithmName="SHA-512" hashValue="rne4zsIvT4QORl0qGpk8qxB3jV3NEIhS9A7Xa/Zv6Sbmfv7K1BIgKvyInCD3XvH3x3x27meqYNEtDiFL4zSAoA==" saltValue="wy/+gDOqsVn3e0NhyoToRg==" spinCount="100000" sheet="1" selectLockedCells="1"/>
  <mergeCells count="148">
    <mergeCell ref="B33:J42"/>
    <mergeCell ref="Z33:Z42"/>
    <mergeCell ref="A33:A42"/>
    <mergeCell ref="U47:Y48"/>
    <mergeCell ref="U38:Y38"/>
    <mergeCell ref="U37:Y37"/>
    <mergeCell ref="U36:Y36"/>
    <mergeCell ref="A50:T51"/>
    <mergeCell ref="A47:T48"/>
    <mergeCell ref="A46:T46"/>
    <mergeCell ref="A49:Z49"/>
    <mergeCell ref="Z50:Z51"/>
    <mergeCell ref="Z46:Z48"/>
    <mergeCell ref="K42:O42"/>
    <mergeCell ref="K41:O41"/>
    <mergeCell ref="K40:O40"/>
    <mergeCell ref="K39:O39"/>
    <mergeCell ref="U50:Y51"/>
    <mergeCell ref="U46:Y46"/>
    <mergeCell ref="U42:Y42"/>
    <mergeCell ref="U41:Y41"/>
    <mergeCell ref="U40:Y40"/>
    <mergeCell ref="U39:Y39"/>
    <mergeCell ref="P42:T42"/>
    <mergeCell ref="P41:T41"/>
    <mergeCell ref="P40:T40"/>
    <mergeCell ref="P39:T39"/>
    <mergeCell ref="A11:Z11"/>
    <mergeCell ref="A12:Z12"/>
    <mergeCell ref="A4:Z4"/>
    <mergeCell ref="A5:C5"/>
    <mergeCell ref="D5:P5"/>
    <mergeCell ref="Q5:U5"/>
    <mergeCell ref="V5:Z5"/>
    <mergeCell ref="A6:Z6"/>
    <mergeCell ref="A10:Z10"/>
    <mergeCell ref="F16:J16"/>
    <mergeCell ref="K16:O16"/>
    <mergeCell ref="P16:T16"/>
    <mergeCell ref="U16:Y16"/>
    <mergeCell ref="F13:J13"/>
    <mergeCell ref="B13:E14"/>
    <mergeCell ref="P13:T14"/>
    <mergeCell ref="U13:Y14"/>
    <mergeCell ref="F14:J14"/>
    <mergeCell ref="K14:O14"/>
    <mergeCell ref="K13:O13"/>
    <mergeCell ref="B15:E15"/>
    <mergeCell ref="P18:T18"/>
    <mergeCell ref="K18:O18"/>
    <mergeCell ref="F18:J18"/>
    <mergeCell ref="B19:E19"/>
    <mergeCell ref="B18:E18"/>
    <mergeCell ref="B17:E17"/>
    <mergeCell ref="U19:Y19"/>
    <mergeCell ref="A1:Z1"/>
    <mergeCell ref="A2:Z2"/>
    <mergeCell ref="A3:C3"/>
    <mergeCell ref="D3:P3"/>
    <mergeCell ref="Q3:U3"/>
    <mergeCell ref="V3:Z3"/>
    <mergeCell ref="A8:Z8"/>
    <mergeCell ref="A7:Z7"/>
    <mergeCell ref="F9:J9"/>
    <mergeCell ref="B9:E9"/>
    <mergeCell ref="U25:Y25"/>
    <mergeCell ref="F26:J26"/>
    <mergeCell ref="K26:O26"/>
    <mergeCell ref="P26:T26"/>
    <mergeCell ref="U26:Y26"/>
    <mergeCell ref="B23:E23"/>
    <mergeCell ref="B25:E25"/>
    <mergeCell ref="F15:J15"/>
    <mergeCell ref="K15:O15"/>
    <mergeCell ref="P15:T15"/>
    <mergeCell ref="U15:Y15"/>
    <mergeCell ref="B16:E16"/>
    <mergeCell ref="U22:Y22"/>
    <mergeCell ref="B21:E21"/>
    <mergeCell ref="B20:E20"/>
    <mergeCell ref="F20:J20"/>
    <mergeCell ref="K20:O20"/>
    <mergeCell ref="P20:T20"/>
    <mergeCell ref="U20:Y20"/>
    <mergeCell ref="U17:Y17"/>
    <mergeCell ref="P17:T17"/>
    <mergeCell ref="K17:O17"/>
    <mergeCell ref="F17:J17"/>
    <mergeCell ref="U18:Y18"/>
    <mergeCell ref="F21:J21"/>
    <mergeCell ref="K21:O21"/>
    <mergeCell ref="P21:T21"/>
    <mergeCell ref="U21:Y21"/>
    <mergeCell ref="B22:E22"/>
    <mergeCell ref="F22:J22"/>
    <mergeCell ref="K22:O22"/>
    <mergeCell ref="P22:T22"/>
    <mergeCell ref="P19:T19"/>
    <mergeCell ref="K19:O19"/>
    <mergeCell ref="F19:J19"/>
    <mergeCell ref="U24:Y24"/>
    <mergeCell ref="A32:Z32"/>
    <mergeCell ref="B26:E26"/>
    <mergeCell ref="B29:E29"/>
    <mergeCell ref="B28:E28"/>
    <mergeCell ref="B27:E27"/>
    <mergeCell ref="A30:Z30"/>
    <mergeCell ref="F29:J29"/>
    <mergeCell ref="K29:O29"/>
    <mergeCell ref="P29:T29"/>
    <mergeCell ref="U29:Y29"/>
    <mergeCell ref="F27:J27"/>
    <mergeCell ref="F25:J25"/>
    <mergeCell ref="K25:O25"/>
    <mergeCell ref="P25:T25"/>
    <mergeCell ref="Z13:Z29"/>
    <mergeCell ref="A13:A29"/>
    <mergeCell ref="K27:O27"/>
    <mergeCell ref="P27:T27"/>
    <mergeCell ref="U27:Y27"/>
    <mergeCell ref="F28:J28"/>
    <mergeCell ref="K28:O28"/>
    <mergeCell ref="P28:T28"/>
    <mergeCell ref="U28:Y28"/>
    <mergeCell ref="A44:Z44"/>
    <mergeCell ref="A45:Z45"/>
    <mergeCell ref="A43:Z43"/>
    <mergeCell ref="F23:J23"/>
    <mergeCell ref="K23:O23"/>
    <mergeCell ref="P23:T23"/>
    <mergeCell ref="U23:Y23"/>
    <mergeCell ref="A31:Z31"/>
    <mergeCell ref="P33:T34"/>
    <mergeCell ref="K33:O34"/>
    <mergeCell ref="P38:T38"/>
    <mergeCell ref="P37:T37"/>
    <mergeCell ref="P36:T36"/>
    <mergeCell ref="U35:Y35"/>
    <mergeCell ref="P35:T35"/>
    <mergeCell ref="U33:Y34"/>
    <mergeCell ref="K37:O37"/>
    <mergeCell ref="K36:O36"/>
    <mergeCell ref="K35:O35"/>
    <mergeCell ref="K38:O38"/>
    <mergeCell ref="B24:E24"/>
    <mergeCell ref="F24:J24"/>
    <mergeCell ref="K24:O24"/>
    <mergeCell ref="P24:T24"/>
  </mergeCells>
  <dataValidations disablePrompts="1" count="1">
    <dataValidation type="list" allowBlank="1" showInputMessage="1" showErrorMessage="1" sqref="F9:J9" xr:uid="{00000000-0002-0000-0B00-000000000000}">
      <formula1>$AA$9:$AC$9</formula1>
    </dataValidation>
  </dataValidations>
  <printOptions horizontalCentered="1"/>
  <pageMargins left="1" right="1" top="0.5" bottom="0.5" header="0" footer="0"/>
  <pageSetup orientation="portrait" r:id="rId1"/>
  <headerFooter>
    <oddFooter xml:space="preserve">&amp;L4/7/2022
</oddFooter>
  </headerFooter>
  <colBreaks count="1" manualBreakCount="1">
    <brk id="2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44"/>
  <sheetViews>
    <sheetView showGridLines="0" zoomScaleNormal="100" zoomScaleSheetLayoutView="145" zoomScalePageLayoutView="145" workbookViewId="0">
      <selection activeCell="D3" sqref="D3:P3"/>
    </sheetView>
  </sheetViews>
  <sheetFormatPr defaultColWidth="3.140625" defaultRowHeight="18" customHeight="1" x14ac:dyDescent="0.25"/>
  <cols>
    <col min="1" max="16384" width="3.140625" style="2"/>
  </cols>
  <sheetData>
    <row r="1" spans="1:38" ht="18" customHeight="1" thickBot="1" x14ac:dyDescent="0.3">
      <c r="A1" s="99" t="s">
        <v>83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1"/>
    </row>
    <row r="2" spans="1:38" ht="7.35" customHeight="1" x14ac:dyDescent="0.25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1"/>
    </row>
    <row r="3" spans="1:38" ht="18" customHeight="1" x14ac:dyDescent="0.25">
      <c r="A3" s="101" t="s">
        <v>0</v>
      </c>
      <c r="B3" s="101"/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3" t="s">
        <v>1</v>
      </c>
      <c r="R3" s="103"/>
      <c r="S3" s="103"/>
      <c r="T3" s="103"/>
      <c r="U3" s="103"/>
      <c r="V3" s="316"/>
      <c r="W3" s="316"/>
      <c r="X3" s="316"/>
      <c r="Y3" s="316"/>
      <c r="Z3" s="316"/>
      <c r="AA3" s="1"/>
    </row>
    <row r="4" spans="1:38" ht="7.35" customHeight="1" x14ac:dyDescent="0.25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1"/>
    </row>
    <row r="5" spans="1:38" ht="18" customHeight="1" x14ac:dyDescent="0.25">
      <c r="A5" s="101" t="s">
        <v>2</v>
      </c>
      <c r="B5" s="101"/>
      <c r="C5" s="101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3" t="s">
        <v>3</v>
      </c>
      <c r="R5" s="103"/>
      <c r="S5" s="103"/>
      <c r="T5" s="103"/>
      <c r="U5" s="103"/>
      <c r="V5" s="108"/>
      <c r="W5" s="108"/>
      <c r="X5" s="108"/>
      <c r="Y5" s="108"/>
      <c r="Z5" s="108"/>
      <c r="AA5" s="1"/>
    </row>
    <row r="6" spans="1:38" ht="7.35" customHeight="1" x14ac:dyDescent="0.25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1"/>
    </row>
    <row r="7" spans="1:38" ht="18" customHeight="1" x14ac:dyDescent="0.25">
      <c r="A7" s="70" t="s">
        <v>122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1"/>
    </row>
    <row r="8" spans="1:38" ht="7.35" customHeight="1" x14ac:dyDescent="0.25">
      <c r="A8" s="293"/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1"/>
    </row>
    <row r="9" spans="1:38" ht="36" customHeight="1" x14ac:dyDescent="0.25">
      <c r="A9" s="111"/>
      <c r="B9" s="9" t="s">
        <v>48</v>
      </c>
      <c r="C9" s="74" t="s">
        <v>79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184"/>
      <c r="R9" s="185"/>
      <c r="S9" s="92"/>
      <c r="T9" s="92"/>
      <c r="U9" s="92"/>
      <c r="V9" s="92"/>
      <c r="W9" s="92"/>
      <c r="X9" s="92"/>
      <c r="Y9" s="73" t="s">
        <v>46</v>
      </c>
      <c r="Z9" s="74"/>
      <c r="AA9" s="1"/>
      <c r="AB9"/>
      <c r="AC9"/>
      <c r="AD9"/>
      <c r="AE9"/>
      <c r="AF9"/>
      <c r="AG9"/>
      <c r="AH9"/>
      <c r="AI9"/>
      <c r="AJ9"/>
      <c r="AK9"/>
      <c r="AL9"/>
    </row>
    <row r="10" spans="1:38" ht="36" customHeight="1" x14ac:dyDescent="0.25">
      <c r="A10" s="111"/>
      <c r="B10" s="9" t="s">
        <v>47</v>
      </c>
      <c r="C10" s="71" t="s">
        <v>80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184"/>
      <c r="R10" s="185"/>
      <c r="S10" s="83"/>
      <c r="T10" s="83"/>
      <c r="U10" s="83"/>
      <c r="V10" s="83"/>
      <c r="W10" s="83"/>
      <c r="X10" s="83"/>
      <c r="Y10" s="73"/>
      <c r="Z10" s="74"/>
      <c r="AA10" s="1"/>
    </row>
    <row r="11" spans="1:38" ht="36" customHeight="1" x14ac:dyDescent="0.25">
      <c r="A11" s="111"/>
      <c r="B11" s="9" t="s">
        <v>45</v>
      </c>
      <c r="C11" s="71" t="s">
        <v>81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184"/>
      <c r="R11" s="185"/>
      <c r="S11" s="105">
        <v>8.57</v>
      </c>
      <c r="T11" s="105"/>
      <c r="U11" s="105"/>
      <c r="V11" s="105"/>
      <c r="W11" s="105"/>
      <c r="X11" s="105"/>
      <c r="Y11" s="73" t="s">
        <v>22</v>
      </c>
      <c r="Z11" s="74"/>
      <c r="AA11" s="1"/>
    </row>
    <row r="12" spans="1:38" ht="7.35" customHeight="1" x14ac:dyDescent="0.25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"/>
    </row>
    <row r="13" spans="1:38" ht="18" customHeight="1" x14ac:dyDescent="0.25">
      <c r="A13" s="70" t="s">
        <v>82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1"/>
    </row>
    <row r="14" spans="1:38" ht="7.35" customHeight="1" x14ac:dyDescent="0.25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1"/>
    </row>
    <row r="15" spans="1:38" ht="36" customHeight="1" x14ac:dyDescent="0.25">
      <c r="A15" s="111"/>
      <c r="B15" s="9" t="s">
        <v>44</v>
      </c>
      <c r="C15" s="71" t="s">
        <v>38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184"/>
      <c r="R15" s="185"/>
      <c r="S15" s="72" t="str">
        <f>IF(ISNUMBER(S10),(1000/S10)-10,"")</f>
        <v/>
      </c>
      <c r="T15" s="72"/>
      <c r="U15" s="72"/>
      <c r="V15" s="72"/>
      <c r="W15" s="72"/>
      <c r="X15" s="72"/>
      <c r="Y15" s="73" t="s">
        <v>22</v>
      </c>
      <c r="Z15" s="74"/>
      <c r="AA15" s="1"/>
    </row>
    <row r="16" spans="1:38" ht="36" customHeight="1" x14ac:dyDescent="0.25">
      <c r="A16" s="111"/>
      <c r="B16" s="9" t="s">
        <v>42</v>
      </c>
      <c r="C16" s="71" t="s">
        <v>36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184"/>
      <c r="R16" s="185"/>
      <c r="S16" s="72" t="str">
        <f>IF(AND(ISNUMBER(S11),ISNUMBER(S15)),((S11-0.2*S15)^2)/(S11+0.8*S15),"")</f>
        <v/>
      </c>
      <c r="T16" s="72"/>
      <c r="U16" s="72"/>
      <c r="V16" s="72"/>
      <c r="W16" s="72"/>
      <c r="X16" s="72"/>
      <c r="Y16" s="73" t="s">
        <v>22</v>
      </c>
      <c r="Z16" s="74"/>
      <c r="AA16" s="1"/>
    </row>
    <row r="17" spans="1:27" ht="7.35" customHeight="1" x14ac:dyDescent="0.25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"/>
    </row>
    <row r="18" spans="1:27" ht="18" customHeight="1" x14ac:dyDescent="0.25">
      <c r="A18" s="70" t="s">
        <v>83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1"/>
    </row>
    <row r="19" spans="1:27" ht="7.35" customHeight="1" thickBot="1" x14ac:dyDescent="0.3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"/>
    </row>
    <row r="20" spans="1:27" ht="36" customHeight="1" thickBot="1" x14ac:dyDescent="0.3">
      <c r="A20" s="8"/>
      <c r="B20" s="9" t="s">
        <v>39</v>
      </c>
      <c r="C20" s="74" t="s">
        <v>84</v>
      </c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184"/>
      <c r="R20" s="259"/>
      <c r="S20" s="312" t="str">
        <f>IF(AND(ISNUMBER(S9),ISNUMBER(S16)),(S16/12)*S9,"")</f>
        <v/>
      </c>
      <c r="T20" s="313"/>
      <c r="U20" s="313"/>
      <c r="V20" s="313"/>
      <c r="W20" s="313"/>
      <c r="X20" s="314"/>
      <c r="Y20" s="74" t="s">
        <v>27</v>
      </c>
      <c r="Z20" s="74"/>
      <c r="AA20" s="1"/>
    </row>
    <row r="21" spans="1:27" ht="18" customHeight="1" x14ac:dyDescent="0.25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"/>
    </row>
    <row r="22" spans="1:27" ht="18" customHeight="1" x14ac:dyDescent="0.2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"/>
    </row>
    <row r="23" spans="1:27" ht="18" customHeight="1" x14ac:dyDescent="0.25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"/>
    </row>
    <row r="24" spans="1:27" ht="18" customHeight="1" x14ac:dyDescent="0.25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"/>
    </row>
    <row r="25" spans="1:27" ht="18" customHeight="1" x14ac:dyDescent="0.25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"/>
    </row>
    <row r="26" spans="1:27" ht="18" customHeight="1" x14ac:dyDescent="0.25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"/>
    </row>
    <row r="27" spans="1:27" ht="18" customHeight="1" x14ac:dyDescent="0.25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"/>
    </row>
    <row r="28" spans="1:27" ht="18" customHeight="1" x14ac:dyDescent="0.25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"/>
    </row>
    <row r="29" spans="1:27" ht="18" customHeight="1" x14ac:dyDescent="0.25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"/>
    </row>
    <row r="30" spans="1:27" ht="18" customHeight="1" x14ac:dyDescent="0.25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"/>
    </row>
    <row r="31" spans="1:27" ht="18" customHeight="1" x14ac:dyDescent="0.25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"/>
    </row>
    <row r="32" spans="1:27" ht="18" customHeight="1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"/>
    </row>
    <row r="33" spans="1:27" ht="18" customHeight="1" x14ac:dyDescent="0.25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"/>
    </row>
    <row r="34" spans="1:27" ht="18" customHeight="1" x14ac:dyDescent="0.25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"/>
    </row>
    <row r="35" spans="1:27" ht="18" customHeight="1" x14ac:dyDescent="0.25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"/>
    </row>
    <row r="36" spans="1:27" ht="18" customHeight="1" x14ac:dyDescent="0.25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"/>
    </row>
    <row r="37" spans="1:27" ht="18" customHeight="1" x14ac:dyDescent="0.25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7" ht="18" customHeight="1" x14ac:dyDescent="0.25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7" ht="18" customHeight="1" x14ac:dyDescent="0.25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7" ht="18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7" ht="18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7" ht="18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7" ht="18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7" ht="18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</sheetData>
  <sheetProtection algorithmName="SHA-512" hashValue="dLuGdIv9Yj0+ohg5K0mUqw7Qm1ESJ3ud6/dlWhjbv2J7FB8TU6mHXLoLzBb3kSwZ7WSkPL8/IgylZn97HphM4g==" saltValue="9r42x+qqtbpJTK02IEwuRQ==" spinCount="100000" sheet="1" selectLockedCells="1"/>
  <mergeCells count="47">
    <mergeCell ref="A6:Z6"/>
    <mergeCell ref="A1:Z1"/>
    <mergeCell ref="A2:Z2"/>
    <mergeCell ref="A3:C3"/>
    <mergeCell ref="D3:P3"/>
    <mergeCell ref="Q3:U3"/>
    <mergeCell ref="V3:Z3"/>
    <mergeCell ref="A4:Z4"/>
    <mergeCell ref="A5:C5"/>
    <mergeCell ref="D5:P5"/>
    <mergeCell ref="Q5:U5"/>
    <mergeCell ref="V5:Z5"/>
    <mergeCell ref="A12:Z12"/>
    <mergeCell ref="A7:Z7"/>
    <mergeCell ref="A8:Z8"/>
    <mergeCell ref="A9:A11"/>
    <mergeCell ref="C9:P9"/>
    <mergeCell ref="Q9:R9"/>
    <mergeCell ref="S9:X9"/>
    <mergeCell ref="Y9:Z9"/>
    <mergeCell ref="C10:P10"/>
    <mergeCell ref="Q10:R10"/>
    <mergeCell ref="S10:X10"/>
    <mergeCell ref="Y10:Z10"/>
    <mergeCell ref="C11:P11"/>
    <mergeCell ref="Q11:R11"/>
    <mergeCell ref="S11:X11"/>
    <mergeCell ref="Y11:Z11"/>
    <mergeCell ref="A13:Z13"/>
    <mergeCell ref="A14:Z14"/>
    <mergeCell ref="A15:A16"/>
    <mergeCell ref="C15:P15"/>
    <mergeCell ref="Q15:R15"/>
    <mergeCell ref="S15:X15"/>
    <mergeCell ref="Y15:Z15"/>
    <mergeCell ref="C16:P16"/>
    <mergeCell ref="Q16:R16"/>
    <mergeCell ref="S16:X16"/>
    <mergeCell ref="A21:Z39"/>
    <mergeCell ref="Y16:Z16"/>
    <mergeCell ref="A17:Z17"/>
    <mergeCell ref="A18:Z18"/>
    <mergeCell ref="A19:Z19"/>
    <mergeCell ref="C20:P20"/>
    <mergeCell ref="Q20:R20"/>
    <mergeCell ref="S20:X20"/>
    <mergeCell ref="Y20:Z20"/>
  </mergeCells>
  <printOptions horizontalCentered="1"/>
  <pageMargins left="1" right="1" top="0.5" bottom="0.5" header="0" footer="0"/>
  <pageSetup orientation="portrait" r:id="rId1"/>
  <headerFooter>
    <oddFooter xml:space="preserve">&amp;L4/7/2022
</oddFooter>
  </headerFooter>
  <colBreaks count="1" manualBreakCount="1">
    <brk id="26" max="1048575" man="1"/>
  </colBreaks>
  <ignoredErrors>
    <ignoredError sqref="A11:Z20 A9:R9 Y9:Z9 A10:R10 Y10:Z1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6"/>
  <sheetViews>
    <sheetView showGridLines="0" zoomScaleNormal="100" zoomScaleSheetLayoutView="160" zoomScalePageLayoutView="130" workbookViewId="0">
      <selection activeCell="D3" sqref="D3:P3"/>
    </sheetView>
  </sheetViews>
  <sheetFormatPr defaultColWidth="3.140625" defaultRowHeight="36" customHeight="1" x14ac:dyDescent="0.25"/>
  <cols>
    <col min="1" max="16384" width="3.140625" style="2"/>
  </cols>
  <sheetData>
    <row r="1" spans="1:27" ht="18" customHeight="1" thickBot="1" x14ac:dyDescent="0.3">
      <c r="A1" s="99" t="s">
        <v>104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1"/>
    </row>
    <row r="2" spans="1:27" ht="7.35" customHeight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"/>
    </row>
    <row r="3" spans="1:27" ht="18" customHeight="1" x14ac:dyDescent="0.25">
      <c r="A3" s="101" t="s">
        <v>0</v>
      </c>
      <c r="B3" s="101"/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3" t="s">
        <v>1</v>
      </c>
      <c r="R3" s="103"/>
      <c r="S3" s="103"/>
      <c r="T3" s="103"/>
      <c r="U3" s="103"/>
      <c r="V3" s="104"/>
      <c r="W3" s="104"/>
      <c r="X3" s="104"/>
      <c r="Y3" s="104"/>
      <c r="Z3" s="104"/>
      <c r="AA3" s="1"/>
    </row>
    <row r="4" spans="1:27" ht="7.35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1"/>
    </row>
    <row r="5" spans="1:27" ht="18" customHeight="1" x14ac:dyDescent="0.25">
      <c r="A5" s="101" t="s">
        <v>2</v>
      </c>
      <c r="B5" s="101"/>
      <c r="C5" s="101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3" t="s">
        <v>3</v>
      </c>
      <c r="R5" s="103"/>
      <c r="S5" s="103"/>
      <c r="T5" s="103"/>
      <c r="U5" s="103"/>
      <c r="V5" s="108"/>
      <c r="W5" s="108"/>
      <c r="X5" s="108"/>
      <c r="Y5" s="108"/>
      <c r="Z5" s="108"/>
      <c r="AA5" s="1"/>
    </row>
    <row r="6" spans="1:27" ht="7.35" customHeight="1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1"/>
    </row>
    <row r="7" spans="1:27" ht="18" customHeight="1" x14ac:dyDescent="0.25">
      <c r="A7" s="70" t="s">
        <v>105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1"/>
    </row>
    <row r="8" spans="1:27" ht="7.35" customHeight="1" x14ac:dyDescent="0.25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1"/>
    </row>
    <row r="9" spans="1:27" ht="20.100000000000001" customHeight="1" x14ac:dyDescent="0.25">
      <c r="A9" s="74"/>
      <c r="B9" s="12" t="s">
        <v>48</v>
      </c>
      <c r="C9" s="74" t="s">
        <v>50</v>
      </c>
      <c r="D9" s="74"/>
      <c r="E9" s="74"/>
      <c r="F9" s="74"/>
      <c r="G9" s="74"/>
      <c r="H9" s="74"/>
      <c r="I9" s="74"/>
      <c r="J9" s="74"/>
      <c r="K9" s="74"/>
      <c r="L9" s="74"/>
      <c r="M9" s="21"/>
      <c r="N9" s="92"/>
      <c r="O9" s="92"/>
      <c r="P9" s="92"/>
      <c r="Q9" s="73"/>
      <c r="R9" s="74"/>
      <c r="S9" s="118"/>
      <c r="T9" s="118"/>
      <c r="U9" s="118"/>
      <c r="V9" s="118"/>
      <c r="W9" s="118"/>
      <c r="X9" s="118"/>
      <c r="Y9" s="118"/>
      <c r="Z9" s="118"/>
      <c r="AA9" s="1"/>
    </row>
    <row r="10" spans="1:27" ht="20.100000000000001" customHeight="1" x14ac:dyDescent="0.25">
      <c r="A10" s="74"/>
      <c r="B10" s="12" t="s">
        <v>44</v>
      </c>
      <c r="C10" s="71" t="s">
        <v>106</v>
      </c>
      <c r="D10" s="71"/>
      <c r="E10" s="71"/>
      <c r="F10" s="71"/>
      <c r="G10" s="71"/>
      <c r="H10" s="71"/>
      <c r="I10" s="71"/>
      <c r="J10" s="71"/>
      <c r="K10" s="71"/>
      <c r="L10" s="71"/>
      <c r="M10" s="14"/>
      <c r="N10" s="94"/>
      <c r="O10" s="94"/>
      <c r="P10" s="94"/>
      <c r="Q10" s="115" t="s">
        <v>53</v>
      </c>
      <c r="R10" s="116"/>
      <c r="S10" s="118"/>
      <c r="T10" s="118"/>
      <c r="U10" s="118"/>
      <c r="V10" s="118"/>
      <c r="W10" s="118"/>
      <c r="X10" s="118"/>
      <c r="Y10" s="118"/>
      <c r="Z10" s="118"/>
      <c r="AA10" s="1"/>
    </row>
    <row r="11" spans="1:27" ht="20.100000000000001" customHeight="1" x14ac:dyDescent="0.25">
      <c r="A11" s="74"/>
      <c r="B11" s="12" t="s">
        <v>39</v>
      </c>
      <c r="C11" s="71" t="s">
        <v>56</v>
      </c>
      <c r="D11" s="71"/>
      <c r="E11" s="71"/>
      <c r="F11" s="71"/>
      <c r="G11" s="71"/>
      <c r="H11" s="71"/>
      <c r="I11" s="71"/>
      <c r="J11" s="71"/>
      <c r="K11" s="71"/>
      <c r="L11" s="71"/>
      <c r="M11" s="14"/>
      <c r="N11" s="75"/>
      <c r="O11" s="75"/>
      <c r="P11" s="75"/>
      <c r="Q11" s="115" t="s">
        <v>57</v>
      </c>
      <c r="R11" s="116"/>
      <c r="S11" s="118"/>
      <c r="T11" s="118"/>
      <c r="U11" s="118"/>
      <c r="V11" s="118"/>
      <c r="W11" s="118"/>
      <c r="X11" s="118"/>
      <c r="Y11" s="118"/>
      <c r="Z11" s="118"/>
      <c r="AA11" s="1"/>
    </row>
    <row r="12" spans="1:27" ht="20.100000000000001" customHeight="1" x14ac:dyDescent="0.25">
      <c r="A12" s="74"/>
      <c r="B12" s="12" t="s">
        <v>37</v>
      </c>
      <c r="C12" s="74" t="s">
        <v>103</v>
      </c>
      <c r="D12" s="74"/>
      <c r="E12" s="74"/>
      <c r="F12" s="74"/>
      <c r="G12" s="74"/>
      <c r="H12" s="74"/>
      <c r="I12" s="74"/>
      <c r="J12" s="74"/>
      <c r="K12" s="74"/>
      <c r="L12" s="74"/>
      <c r="M12" s="14"/>
      <c r="N12" s="72" t="str">
        <f>IF(AND(ISNUMBER(N10),ISNUMBER(N11)),IF(N10&lt;1000,0.827*(((0.4*N10)/(N11)^0.5)^0.467),(1.71*((N10^0.5)/((N11*100)^(1/3))))),"")</f>
        <v/>
      </c>
      <c r="O12" s="72"/>
      <c r="P12" s="72"/>
      <c r="Q12" s="73" t="s">
        <v>93</v>
      </c>
      <c r="R12" s="74"/>
      <c r="S12" s="118"/>
      <c r="T12" s="118"/>
      <c r="U12" s="118"/>
      <c r="V12" s="118"/>
      <c r="W12" s="118"/>
      <c r="X12" s="118"/>
      <c r="Y12" s="118"/>
      <c r="Z12" s="118"/>
      <c r="AA12" s="1"/>
    </row>
    <row r="13" spans="1:27" ht="7.35" customHeight="1" x14ac:dyDescent="0.25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1"/>
    </row>
    <row r="14" spans="1:27" ht="7.35" customHeight="1" x14ac:dyDescent="0.25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1"/>
    </row>
    <row r="15" spans="1:27" ht="18" customHeight="1" x14ac:dyDescent="0.25">
      <c r="A15" s="70" t="s">
        <v>64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1"/>
    </row>
    <row r="16" spans="1:27" ht="7.35" customHeight="1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1"/>
    </row>
    <row r="17" spans="1:27" ht="20.100000000000001" customHeight="1" x14ac:dyDescent="0.25">
      <c r="A17" s="74"/>
      <c r="B17" s="12" t="s">
        <v>20</v>
      </c>
      <c r="C17" s="74" t="s">
        <v>50</v>
      </c>
      <c r="D17" s="74"/>
      <c r="E17" s="74"/>
      <c r="F17" s="74"/>
      <c r="G17" s="74"/>
      <c r="H17" s="74"/>
      <c r="I17" s="74"/>
      <c r="J17" s="74"/>
      <c r="K17" s="74"/>
      <c r="L17" s="74"/>
      <c r="M17" s="5"/>
      <c r="N17" s="92"/>
      <c r="O17" s="92"/>
      <c r="P17" s="92"/>
      <c r="Q17" s="73"/>
      <c r="R17" s="74"/>
      <c r="S17" s="111"/>
      <c r="T17" s="111"/>
      <c r="U17" s="111"/>
      <c r="V17" s="111"/>
      <c r="W17" s="111"/>
      <c r="X17" s="111"/>
      <c r="Y17" s="111"/>
      <c r="Z17" s="111"/>
      <c r="AA17" s="1"/>
    </row>
    <row r="18" spans="1:27" ht="20.100000000000001" customHeight="1" x14ac:dyDescent="0.25">
      <c r="A18" s="74"/>
      <c r="B18" s="12" t="s">
        <v>65</v>
      </c>
      <c r="C18" s="74" t="s">
        <v>66</v>
      </c>
      <c r="D18" s="74"/>
      <c r="E18" s="74"/>
      <c r="F18" s="74"/>
      <c r="G18" s="74"/>
      <c r="H18" s="74"/>
      <c r="I18" s="74"/>
      <c r="J18" s="74"/>
      <c r="K18" s="74"/>
      <c r="L18" s="74"/>
      <c r="N18" s="83"/>
      <c r="O18" s="83"/>
      <c r="P18" s="83"/>
      <c r="Q18" s="115" t="s">
        <v>98</v>
      </c>
      <c r="R18" s="116"/>
      <c r="S18" s="111"/>
      <c r="T18" s="111"/>
      <c r="U18" s="111"/>
      <c r="V18" s="111"/>
      <c r="W18" s="111"/>
      <c r="X18" s="111"/>
      <c r="Y18" s="111"/>
      <c r="Z18" s="111"/>
      <c r="AA18" s="1"/>
    </row>
    <row r="19" spans="1:27" ht="20.100000000000001" customHeight="1" x14ac:dyDescent="0.25">
      <c r="A19" s="74"/>
      <c r="B19" s="12" t="s">
        <v>67</v>
      </c>
      <c r="C19" s="74" t="s">
        <v>68</v>
      </c>
      <c r="D19" s="74"/>
      <c r="E19" s="74"/>
      <c r="F19" s="74"/>
      <c r="G19" s="74"/>
      <c r="H19" s="74"/>
      <c r="I19" s="74"/>
      <c r="J19" s="74"/>
      <c r="K19" s="74"/>
      <c r="L19" s="74"/>
      <c r="N19" s="91"/>
      <c r="O19" s="91"/>
      <c r="P19" s="91"/>
      <c r="Q19" s="115" t="s">
        <v>53</v>
      </c>
      <c r="R19" s="116"/>
      <c r="S19" s="111"/>
      <c r="T19" s="111"/>
      <c r="U19" s="111"/>
      <c r="V19" s="111"/>
      <c r="W19" s="111"/>
      <c r="X19" s="111"/>
      <c r="Y19" s="111"/>
      <c r="Z19" s="111"/>
      <c r="AA19" s="1"/>
    </row>
    <row r="20" spans="1:27" ht="20.100000000000001" customHeight="1" x14ac:dyDescent="0.25">
      <c r="A20" s="74"/>
      <c r="B20" s="12" t="s">
        <v>69</v>
      </c>
      <c r="C20" s="74" t="s">
        <v>107</v>
      </c>
      <c r="D20" s="74"/>
      <c r="E20" s="74"/>
      <c r="F20" s="74"/>
      <c r="G20" s="74"/>
      <c r="H20" s="74"/>
      <c r="I20" s="74"/>
      <c r="J20" s="74"/>
      <c r="K20" s="74"/>
      <c r="L20" s="74"/>
      <c r="N20" s="117" t="str">
        <f>IF(AND(ISNUMBER(N18),ISNUMBER(N19)),N18/N19,"")</f>
        <v/>
      </c>
      <c r="O20" s="117"/>
      <c r="P20" s="117"/>
      <c r="Q20" s="115" t="s">
        <v>53</v>
      </c>
      <c r="R20" s="116"/>
      <c r="S20" s="111"/>
      <c r="T20" s="111"/>
      <c r="U20" s="111"/>
      <c r="V20" s="111"/>
      <c r="W20" s="111"/>
      <c r="X20" s="111"/>
      <c r="Y20" s="111"/>
      <c r="Z20" s="111"/>
      <c r="AA20" s="1"/>
    </row>
    <row r="21" spans="1:27" ht="20.100000000000001" customHeight="1" x14ac:dyDescent="0.25">
      <c r="A21" s="74"/>
      <c r="B21" s="12" t="s">
        <v>70</v>
      </c>
      <c r="C21" s="71" t="s">
        <v>102</v>
      </c>
      <c r="D21" s="71"/>
      <c r="E21" s="71"/>
      <c r="F21" s="71"/>
      <c r="G21" s="71"/>
      <c r="H21" s="71"/>
      <c r="I21" s="71"/>
      <c r="J21" s="71"/>
      <c r="K21" s="71"/>
      <c r="L21" s="71"/>
      <c r="N21" s="82"/>
      <c r="O21" s="82"/>
      <c r="P21" s="82"/>
      <c r="Q21" s="115" t="s">
        <v>53</v>
      </c>
      <c r="R21" s="116"/>
      <c r="S21" s="111"/>
      <c r="T21" s="111"/>
      <c r="U21" s="111"/>
      <c r="V21" s="111"/>
      <c r="W21" s="111"/>
      <c r="X21" s="111"/>
      <c r="Y21" s="111"/>
      <c r="Z21" s="111"/>
      <c r="AA21" s="1"/>
    </row>
    <row r="22" spans="1:27" ht="20.100000000000001" customHeight="1" x14ac:dyDescent="0.25">
      <c r="A22" s="74"/>
      <c r="B22" s="12" t="s">
        <v>71</v>
      </c>
      <c r="C22" s="74" t="s">
        <v>72</v>
      </c>
      <c r="D22" s="74"/>
      <c r="E22" s="74"/>
      <c r="F22" s="74"/>
      <c r="G22" s="74"/>
      <c r="H22" s="74"/>
      <c r="I22" s="74"/>
      <c r="J22" s="74"/>
      <c r="K22" s="74"/>
      <c r="L22" s="74"/>
      <c r="N22" s="75"/>
      <c r="O22" s="75"/>
      <c r="P22" s="75"/>
      <c r="Q22" s="115" t="s">
        <v>57</v>
      </c>
      <c r="R22" s="116"/>
      <c r="S22" s="111"/>
      <c r="T22" s="111"/>
      <c r="U22" s="111"/>
      <c r="V22" s="111"/>
      <c r="W22" s="111"/>
      <c r="X22" s="111"/>
      <c r="Y22" s="111"/>
      <c r="Z22" s="111"/>
      <c r="AA22" s="1"/>
    </row>
    <row r="23" spans="1:27" ht="20.100000000000001" customHeight="1" x14ac:dyDescent="0.25">
      <c r="A23" s="74"/>
      <c r="B23" s="12" t="s">
        <v>73</v>
      </c>
      <c r="C23" s="71" t="s">
        <v>52</v>
      </c>
      <c r="D23" s="71"/>
      <c r="E23" s="71"/>
      <c r="F23" s="71"/>
      <c r="G23" s="71"/>
      <c r="H23" s="71"/>
      <c r="I23" s="71"/>
      <c r="J23" s="71"/>
      <c r="K23" s="71"/>
      <c r="L23" s="71"/>
      <c r="M23" s="14"/>
      <c r="N23" s="76"/>
      <c r="O23" s="77"/>
      <c r="P23" s="78"/>
      <c r="Q23" s="73"/>
      <c r="R23" s="74"/>
      <c r="S23" s="111"/>
      <c r="T23" s="111"/>
      <c r="U23" s="111"/>
      <c r="V23" s="111"/>
      <c r="W23" s="111"/>
      <c r="X23" s="111"/>
      <c r="Y23" s="111"/>
      <c r="Z23" s="111"/>
      <c r="AA23" s="1"/>
    </row>
    <row r="24" spans="1:27" ht="20.100000000000001" customHeight="1" x14ac:dyDescent="0.25">
      <c r="A24" s="74"/>
      <c r="B24" s="12" t="s">
        <v>74</v>
      </c>
      <c r="C24" s="71" t="s">
        <v>96</v>
      </c>
      <c r="D24" s="71"/>
      <c r="E24" s="71"/>
      <c r="F24" s="71"/>
      <c r="G24" s="71"/>
      <c r="H24" s="71"/>
      <c r="I24" s="71"/>
      <c r="J24" s="71"/>
      <c r="K24" s="71"/>
      <c r="L24" s="71"/>
      <c r="N24" s="88" t="str">
        <f>IF(AND(ISNUMBER(N20),ISNUMBER(N22),ISNUMBER(N23)),(1.486/N23)*(N20^(2/3))*(N22^(1/2)),"")</f>
        <v/>
      </c>
      <c r="O24" s="89"/>
      <c r="P24" s="90"/>
      <c r="Q24" s="115" t="s">
        <v>63</v>
      </c>
      <c r="R24" s="116"/>
      <c r="S24" s="111"/>
      <c r="T24" s="111"/>
      <c r="U24" s="111"/>
      <c r="V24" s="111"/>
      <c r="W24" s="111"/>
      <c r="X24" s="111"/>
      <c r="Y24" s="111"/>
      <c r="Z24" s="111"/>
      <c r="AA24" s="1"/>
    </row>
    <row r="25" spans="1:27" ht="20.100000000000001" customHeight="1" x14ac:dyDescent="0.25">
      <c r="A25" s="74"/>
      <c r="B25" s="12" t="s">
        <v>75</v>
      </c>
      <c r="C25" s="74" t="s">
        <v>103</v>
      </c>
      <c r="D25" s="74"/>
      <c r="E25" s="74"/>
      <c r="F25" s="74"/>
      <c r="G25" s="74"/>
      <c r="H25" s="74"/>
      <c r="I25" s="74"/>
      <c r="J25" s="74"/>
      <c r="K25" s="74"/>
      <c r="L25" s="74"/>
      <c r="M25" s="14"/>
      <c r="N25" s="72" t="str">
        <f>IF(AND(ISNUMBER(N21),ISNUMBER(N24)),N21/(3600*N24),"")</f>
        <v/>
      </c>
      <c r="O25" s="72"/>
      <c r="P25" s="72"/>
      <c r="Q25" s="73" t="s">
        <v>93</v>
      </c>
      <c r="R25" s="74"/>
      <c r="S25" s="111"/>
      <c r="T25" s="111"/>
      <c r="U25" s="111"/>
      <c r="V25" s="111"/>
      <c r="W25" s="111"/>
      <c r="X25" s="111"/>
      <c r="Y25" s="111"/>
      <c r="Z25" s="111"/>
      <c r="AA25" s="1"/>
    </row>
    <row r="26" spans="1:27" ht="7.35" customHeight="1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1"/>
    </row>
    <row r="27" spans="1:27" ht="18" customHeight="1" x14ac:dyDescent="0.25">
      <c r="A27" s="70" t="s">
        <v>127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1"/>
    </row>
    <row r="28" spans="1:27" ht="7.35" customHeight="1" thickBot="1" x14ac:dyDescent="0.3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1"/>
    </row>
    <row r="29" spans="1:27" ht="36" customHeight="1" thickBot="1" x14ac:dyDescent="0.3">
      <c r="A29" s="5"/>
      <c r="B29" s="12" t="s">
        <v>77</v>
      </c>
      <c r="C29" s="74" t="s">
        <v>108</v>
      </c>
      <c r="D29" s="74"/>
      <c r="E29" s="74"/>
      <c r="F29" s="74"/>
      <c r="G29" s="74"/>
      <c r="H29" s="74"/>
      <c r="I29" s="74"/>
      <c r="J29" s="74"/>
      <c r="K29" s="74"/>
      <c r="L29" s="74"/>
      <c r="M29" s="8"/>
      <c r="N29" s="112" t="str">
        <f>IF(OR(ISNUMBER(N12),ISNUMBER(N25)),SUM(N12,N25),"")</f>
        <v/>
      </c>
      <c r="O29" s="113"/>
      <c r="P29" s="114"/>
      <c r="Q29" s="74" t="s">
        <v>93</v>
      </c>
      <c r="R29" s="74"/>
      <c r="S29" s="111"/>
      <c r="T29" s="111"/>
      <c r="U29" s="111"/>
      <c r="V29" s="111"/>
      <c r="W29" s="111"/>
      <c r="X29" s="111"/>
      <c r="Y29" s="111"/>
      <c r="Z29" s="111"/>
      <c r="AA29" s="1"/>
    </row>
    <row r="30" spans="1:27" ht="36" customHeight="1" x14ac:dyDescent="0.25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"/>
    </row>
    <row r="31" spans="1:27" ht="36" customHeight="1" x14ac:dyDescent="0.25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"/>
    </row>
    <row r="32" spans="1:27" ht="36" customHeight="1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"/>
    </row>
    <row r="33" spans="1:26" ht="36" customHeight="1" x14ac:dyDescent="0.25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36" customHeight="1" x14ac:dyDescent="0.25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36" customHeight="1" x14ac:dyDescent="0.25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36" customHeight="1" x14ac:dyDescent="0.25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</sheetData>
  <sheetProtection algorithmName="SHA-512" hashValue="Gs+EfJGSMdB9az0lgFQdkmnBWuCA1qD9ve3O5Ci9mqyx2wCgr0OuYLLzLWmCoT3hujMIVzO6707sSj7bq+gd/g==" saltValue="c8/7nV5yXhxOWFHmxoDHQQ==" spinCount="100000" sheet="1" selectLockedCells="1"/>
  <mergeCells count="69">
    <mergeCell ref="A6:Z6"/>
    <mergeCell ref="A1:Z1"/>
    <mergeCell ref="A2:Z2"/>
    <mergeCell ref="A3:C3"/>
    <mergeCell ref="D3:P3"/>
    <mergeCell ref="Q3:U3"/>
    <mergeCell ref="V3:Z3"/>
    <mergeCell ref="A4:Z4"/>
    <mergeCell ref="A5:C5"/>
    <mergeCell ref="D5:P5"/>
    <mergeCell ref="Q5:U5"/>
    <mergeCell ref="V5:Z5"/>
    <mergeCell ref="C11:L11"/>
    <mergeCell ref="N11:P11"/>
    <mergeCell ref="C10:L10"/>
    <mergeCell ref="N10:P10"/>
    <mergeCell ref="A7:Z7"/>
    <mergeCell ref="A8:Z8"/>
    <mergeCell ref="A9:A12"/>
    <mergeCell ref="C9:L9"/>
    <mergeCell ref="N9:P9"/>
    <mergeCell ref="S9:Z12"/>
    <mergeCell ref="C20:L20"/>
    <mergeCell ref="N20:P20"/>
    <mergeCell ref="C21:L21"/>
    <mergeCell ref="N21:P21"/>
    <mergeCell ref="C18:L18"/>
    <mergeCell ref="N18:P18"/>
    <mergeCell ref="C19:L19"/>
    <mergeCell ref="N19:P19"/>
    <mergeCell ref="N24:P24"/>
    <mergeCell ref="C25:L25"/>
    <mergeCell ref="N25:P25"/>
    <mergeCell ref="C22:L22"/>
    <mergeCell ref="N22:P22"/>
    <mergeCell ref="C23:L23"/>
    <mergeCell ref="N23:P23"/>
    <mergeCell ref="Q17:R17"/>
    <mergeCell ref="Q12:R12"/>
    <mergeCell ref="Q11:R11"/>
    <mergeCell ref="Q10:R10"/>
    <mergeCell ref="Q9:R9"/>
    <mergeCell ref="A14:Z14"/>
    <mergeCell ref="A15:Z15"/>
    <mergeCell ref="A16:Z16"/>
    <mergeCell ref="A17:A25"/>
    <mergeCell ref="C17:L17"/>
    <mergeCell ref="N17:P17"/>
    <mergeCell ref="Q18:R18"/>
    <mergeCell ref="C12:L12"/>
    <mergeCell ref="N12:P12"/>
    <mergeCell ref="A13:Z13"/>
    <mergeCell ref="C24:L24"/>
    <mergeCell ref="C29:L29"/>
    <mergeCell ref="Q29:R29"/>
    <mergeCell ref="A30:Z36"/>
    <mergeCell ref="S29:Z29"/>
    <mergeCell ref="S17:Z25"/>
    <mergeCell ref="N29:P29"/>
    <mergeCell ref="Q24:R24"/>
    <mergeCell ref="Q23:R23"/>
    <mergeCell ref="Q22:R22"/>
    <mergeCell ref="Q21:R21"/>
    <mergeCell ref="Q20:R20"/>
    <mergeCell ref="Q19:R19"/>
    <mergeCell ref="A26:Z26"/>
    <mergeCell ref="A27:Z27"/>
    <mergeCell ref="A28:Z28"/>
    <mergeCell ref="Q25:R25"/>
  </mergeCells>
  <printOptions horizontalCentered="1"/>
  <pageMargins left="1" right="1" top="0.5" bottom="0.5" header="0" footer="0"/>
  <pageSetup orientation="portrait" r:id="rId1"/>
  <headerFooter>
    <oddFooter xml:space="preserve">&amp;L4/7/2022
</oddFooter>
    <firstFooter xml:space="preserve">&amp;L&amp;10 10/7/2019
</firstFooter>
  </headerFooter>
  <colBreaks count="1" manualBreakCount="1">
    <brk id="26" max="1048575" man="1"/>
  </colBreaks>
  <ignoredErrors>
    <ignoredError sqref="A12:Z16 A9:M11 Q9:Z11 A20:Z20 A17:M19 Q17:Z19 A24:Z28 A21:M23 Q21:Z23 A29:M29 O29:Z29" numberStoredAsText="1"/>
  </ignoredErrors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29</xdr:col>
                <xdr:colOff>28575</xdr:colOff>
                <xdr:row>17</xdr:row>
                <xdr:rowOff>47625</xdr:rowOff>
              </from>
              <to>
                <xdr:col>55</xdr:col>
                <xdr:colOff>95250</xdr:colOff>
                <xdr:row>23</xdr:row>
                <xdr:rowOff>57150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4C186-EB98-4D07-BA5B-08ECC45687BB}">
  <dimension ref="A1:AD45"/>
  <sheetViews>
    <sheetView showGridLines="0" zoomScaleNormal="100" zoomScaleSheetLayoutView="190" zoomScalePageLayoutView="145" workbookViewId="0">
      <selection activeCell="D3" sqref="D3:P3"/>
    </sheetView>
  </sheetViews>
  <sheetFormatPr defaultColWidth="3.140625" defaultRowHeight="13.9" customHeight="1" x14ac:dyDescent="0.25"/>
  <cols>
    <col min="1" max="27" width="3.140625" style="2"/>
    <col min="28" max="28" width="0" style="2" hidden="1" customWidth="1"/>
    <col min="29" max="16384" width="3.140625" style="2"/>
  </cols>
  <sheetData>
    <row r="1" spans="1:30" ht="18" customHeight="1" thickBot="1" x14ac:dyDescent="0.3">
      <c r="A1" s="99" t="s">
        <v>176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1"/>
    </row>
    <row r="2" spans="1:30" ht="7.35" customHeight="1" x14ac:dyDescent="0.25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"/>
    </row>
    <row r="3" spans="1:30" ht="18" customHeight="1" x14ac:dyDescent="0.25">
      <c r="A3" s="181" t="s">
        <v>0</v>
      </c>
      <c r="B3" s="181"/>
      <c r="C3" s="18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82" t="s">
        <v>1</v>
      </c>
      <c r="R3" s="182"/>
      <c r="S3" s="182"/>
      <c r="T3" s="182"/>
      <c r="U3" s="182"/>
      <c r="V3" s="104"/>
      <c r="W3" s="104"/>
      <c r="X3" s="104"/>
      <c r="Y3" s="104"/>
      <c r="Z3" s="104"/>
      <c r="AA3" s="1"/>
      <c r="AB3" s="57"/>
      <c r="AC3" s="56"/>
      <c r="AD3" s="56"/>
    </row>
    <row r="4" spans="1:30" ht="7.35" customHeight="1" x14ac:dyDescent="0.25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"/>
      <c r="AC4" s="56"/>
      <c r="AD4" s="56"/>
    </row>
    <row r="5" spans="1:30" ht="18" customHeight="1" x14ac:dyDescent="0.25">
      <c r="A5" s="181" t="s">
        <v>2</v>
      </c>
      <c r="B5" s="181"/>
      <c r="C5" s="181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82" t="s">
        <v>3</v>
      </c>
      <c r="R5" s="182"/>
      <c r="S5" s="182"/>
      <c r="T5" s="182"/>
      <c r="U5" s="182"/>
      <c r="V5" s="108"/>
      <c r="W5" s="108"/>
      <c r="X5" s="108"/>
      <c r="Y5" s="108"/>
      <c r="Z5" s="108"/>
      <c r="AA5" s="1"/>
      <c r="AC5" s="56"/>
      <c r="AD5" s="56"/>
    </row>
    <row r="6" spans="1:30" ht="7.35" customHeight="1" x14ac:dyDescent="0.2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"/>
      <c r="AC6" s="56"/>
      <c r="AD6" s="56"/>
    </row>
    <row r="7" spans="1:30" ht="18" customHeight="1" x14ac:dyDescent="0.25">
      <c r="A7" s="132" t="s">
        <v>166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"/>
      <c r="AC7" s="56"/>
      <c r="AD7" s="56"/>
    </row>
    <row r="8" spans="1:30" ht="7.35" customHeight="1" x14ac:dyDescent="0.25">
      <c r="A8" s="159"/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"/>
      <c r="AC8" s="56"/>
      <c r="AD8" s="56"/>
    </row>
    <row r="9" spans="1:30" ht="18" customHeight="1" x14ac:dyDescent="0.25">
      <c r="A9" s="159"/>
      <c r="B9" s="54"/>
      <c r="C9" s="167" t="s">
        <v>128</v>
      </c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54"/>
      <c r="P9" s="167" t="s">
        <v>132</v>
      </c>
      <c r="Q9" s="167"/>
      <c r="R9" s="167"/>
      <c r="S9" s="167"/>
      <c r="T9" s="167"/>
      <c r="U9" s="167"/>
      <c r="V9" s="167"/>
      <c r="W9" s="167"/>
      <c r="X9" s="167"/>
      <c r="Y9" s="167"/>
      <c r="Z9" s="159"/>
      <c r="AA9" s="1"/>
      <c r="AB9" s="2" t="s">
        <v>164</v>
      </c>
      <c r="AC9" s="56"/>
      <c r="AD9" s="56"/>
    </row>
    <row r="10" spans="1:30" ht="7.35" customHeight="1" x14ac:dyDescent="0.25">
      <c r="A10" s="159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"/>
      <c r="AC10" s="56"/>
      <c r="AD10" s="56"/>
    </row>
    <row r="11" spans="1:30" ht="18" customHeight="1" x14ac:dyDescent="0.25">
      <c r="A11" s="159"/>
      <c r="B11" s="54"/>
      <c r="C11" s="167" t="s">
        <v>129</v>
      </c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54"/>
      <c r="P11" s="58" t="s">
        <v>131</v>
      </c>
      <c r="Q11" s="58"/>
      <c r="R11" s="180"/>
      <c r="S11" s="180"/>
      <c r="T11" s="180"/>
      <c r="U11" s="180"/>
      <c r="V11" s="180"/>
      <c r="W11" s="180"/>
      <c r="X11" s="180"/>
      <c r="Y11" s="180"/>
      <c r="Z11" s="159"/>
      <c r="AA11" s="1"/>
      <c r="AC11" s="56"/>
      <c r="AD11" s="56"/>
    </row>
    <row r="12" spans="1:30" ht="7.35" customHeight="1" x14ac:dyDescent="0.25">
      <c r="A12" s="159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"/>
      <c r="AC12" s="56"/>
      <c r="AD12" s="56"/>
    </row>
    <row r="13" spans="1:30" ht="18" customHeight="1" x14ac:dyDescent="0.25">
      <c r="A13" s="159"/>
      <c r="B13" s="54"/>
      <c r="C13" s="167" t="s">
        <v>130</v>
      </c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58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"/>
      <c r="AC13" s="56"/>
      <c r="AD13" s="56"/>
    </row>
    <row r="14" spans="1:30" ht="7.35" customHeight="1" x14ac:dyDescent="0.25">
      <c r="A14" s="159"/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"/>
      <c r="AC14" s="56"/>
      <c r="AD14" s="56"/>
    </row>
    <row r="15" spans="1:30" ht="18" customHeight="1" x14ac:dyDescent="0.25">
      <c r="A15" s="132" t="s">
        <v>167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"/>
      <c r="AC15" s="56"/>
      <c r="AD15" s="56"/>
    </row>
    <row r="16" spans="1:30" ht="7.35" customHeight="1" x14ac:dyDescent="0.25">
      <c r="A16" s="159"/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"/>
      <c r="AC16" s="56"/>
      <c r="AD16" s="56"/>
    </row>
    <row r="17" spans="1:30" ht="18" customHeight="1" x14ac:dyDescent="0.25">
      <c r="A17" s="59"/>
      <c r="B17" s="54"/>
      <c r="C17" s="167" t="s">
        <v>4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54"/>
      <c r="P17" s="167" t="s">
        <v>5</v>
      </c>
      <c r="Q17" s="167"/>
      <c r="R17" s="167"/>
      <c r="S17" s="167"/>
      <c r="T17" s="167"/>
      <c r="U17" s="167"/>
      <c r="V17" s="167"/>
      <c r="W17" s="167"/>
      <c r="X17" s="167"/>
      <c r="Y17" s="167"/>
      <c r="Z17" s="59"/>
      <c r="AA17" s="1"/>
      <c r="AB17" s="2" t="s">
        <v>164</v>
      </c>
      <c r="AC17" s="56"/>
      <c r="AD17" s="56"/>
    </row>
    <row r="18" spans="1:30" ht="7.35" customHeight="1" x14ac:dyDescent="0.25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"/>
      <c r="AC18" s="56"/>
      <c r="AD18" s="56"/>
    </row>
    <row r="19" spans="1:30" ht="18" customHeight="1" x14ac:dyDescent="0.25">
      <c r="A19" s="132" t="s">
        <v>177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"/>
      <c r="AB19" s="57"/>
      <c r="AC19" s="56"/>
      <c r="AD19" s="56"/>
    </row>
    <row r="20" spans="1:30" ht="7.35" customHeight="1" x14ac:dyDescent="0.25">
      <c r="A20" s="167"/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"/>
      <c r="AB20" s="57"/>
      <c r="AC20" s="56"/>
      <c r="AD20" s="56"/>
    </row>
    <row r="21" spans="1:30" ht="36" customHeight="1" x14ac:dyDescent="0.25">
      <c r="A21" s="168"/>
      <c r="B21" s="169" t="s">
        <v>6</v>
      </c>
      <c r="C21" s="170"/>
      <c r="D21" s="170"/>
      <c r="E21" s="170"/>
      <c r="F21" s="170"/>
      <c r="G21" s="170"/>
      <c r="H21" s="171"/>
      <c r="I21" s="172" t="s">
        <v>178</v>
      </c>
      <c r="J21" s="173"/>
      <c r="K21" s="173"/>
      <c r="L21" s="173"/>
      <c r="M21" s="173"/>
      <c r="N21" s="174"/>
      <c r="O21" s="175" t="s">
        <v>17</v>
      </c>
      <c r="P21" s="176"/>
      <c r="Q21" s="177"/>
      <c r="R21" s="178" t="s">
        <v>8</v>
      </c>
      <c r="S21" s="179"/>
      <c r="T21" s="179"/>
      <c r="U21" s="179"/>
      <c r="V21" s="178" t="s">
        <v>179</v>
      </c>
      <c r="W21" s="178"/>
      <c r="X21" s="178"/>
      <c r="Y21" s="178"/>
      <c r="Z21" s="127"/>
      <c r="AA21" s="1"/>
      <c r="AC21" s="56"/>
      <c r="AD21" s="56"/>
    </row>
    <row r="22" spans="1:30" ht="36" customHeight="1" x14ac:dyDescent="0.25">
      <c r="A22" s="168"/>
      <c r="B22" s="141"/>
      <c r="C22" s="142"/>
      <c r="D22" s="142"/>
      <c r="E22" s="142"/>
      <c r="F22" s="142"/>
      <c r="G22" s="142"/>
      <c r="H22" s="143"/>
      <c r="I22" s="144"/>
      <c r="J22" s="145"/>
      <c r="K22" s="145"/>
      <c r="L22" s="145"/>
      <c r="M22" s="145"/>
      <c r="N22" s="146"/>
      <c r="O22" s="147"/>
      <c r="P22" s="148"/>
      <c r="Q22" s="149"/>
      <c r="R22" s="83"/>
      <c r="S22" s="83"/>
      <c r="T22" s="83"/>
      <c r="U22" s="83"/>
      <c r="V22" s="161" t="str">
        <f t="shared" ref="V22:V29" si="0">IF(ISNUMBER(R22),O22*R22,"")</f>
        <v/>
      </c>
      <c r="W22" s="161"/>
      <c r="X22" s="161"/>
      <c r="Y22" s="161"/>
      <c r="Z22" s="127"/>
      <c r="AA22" s="1"/>
      <c r="AB22" s="57"/>
      <c r="AC22" s="56"/>
      <c r="AD22" s="56"/>
    </row>
    <row r="23" spans="1:30" ht="36" customHeight="1" x14ac:dyDescent="0.25">
      <c r="A23" s="168"/>
      <c r="B23" s="141"/>
      <c r="C23" s="142"/>
      <c r="D23" s="142"/>
      <c r="E23" s="142"/>
      <c r="F23" s="142"/>
      <c r="G23" s="142"/>
      <c r="H23" s="143"/>
      <c r="I23" s="144"/>
      <c r="J23" s="145"/>
      <c r="K23" s="145"/>
      <c r="L23" s="145"/>
      <c r="M23" s="145"/>
      <c r="N23" s="146"/>
      <c r="O23" s="147"/>
      <c r="P23" s="148"/>
      <c r="Q23" s="149"/>
      <c r="R23" s="83"/>
      <c r="S23" s="83"/>
      <c r="T23" s="83"/>
      <c r="U23" s="83"/>
      <c r="V23" s="135" t="str">
        <f t="shared" si="0"/>
        <v/>
      </c>
      <c r="W23" s="136"/>
      <c r="X23" s="136"/>
      <c r="Y23" s="137"/>
      <c r="Z23" s="127"/>
      <c r="AA23" s="1"/>
      <c r="AC23" s="56"/>
      <c r="AD23" s="56"/>
    </row>
    <row r="24" spans="1:30" ht="36" customHeight="1" x14ac:dyDescent="0.25">
      <c r="A24" s="168"/>
      <c r="B24" s="141"/>
      <c r="C24" s="142"/>
      <c r="D24" s="142"/>
      <c r="E24" s="142"/>
      <c r="F24" s="142"/>
      <c r="G24" s="142"/>
      <c r="H24" s="143"/>
      <c r="I24" s="144"/>
      <c r="J24" s="145"/>
      <c r="K24" s="145"/>
      <c r="L24" s="145"/>
      <c r="M24" s="145"/>
      <c r="N24" s="146"/>
      <c r="O24" s="147"/>
      <c r="P24" s="148"/>
      <c r="Q24" s="149"/>
      <c r="R24" s="83"/>
      <c r="S24" s="83"/>
      <c r="T24" s="83"/>
      <c r="U24" s="83"/>
      <c r="V24" s="135" t="str">
        <f t="shared" si="0"/>
        <v/>
      </c>
      <c r="W24" s="136"/>
      <c r="X24" s="136"/>
      <c r="Y24" s="137"/>
      <c r="Z24" s="127"/>
      <c r="AA24" s="1"/>
      <c r="AC24" s="56"/>
      <c r="AD24" s="56"/>
    </row>
    <row r="25" spans="1:30" ht="36" customHeight="1" x14ac:dyDescent="0.25">
      <c r="A25" s="168"/>
      <c r="B25" s="141"/>
      <c r="C25" s="142"/>
      <c r="D25" s="142"/>
      <c r="E25" s="142"/>
      <c r="F25" s="142"/>
      <c r="G25" s="142"/>
      <c r="H25" s="143"/>
      <c r="I25" s="144"/>
      <c r="J25" s="145"/>
      <c r="K25" s="145"/>
      <c r="L25" s="145"/>
      <c r="M25" s="145"/>
      <c r="N25" s="146"/>
      <c r="O25" s="156"/>
      <c r="P25" s="157"/>
      <c r="Q25" s="158"/>
      <c r="R25" s="164"/>
      <c r="S25" s="165"/>
      <c r="T25" s="165"/>
      <c r="U25" s="166"/>
      <c r="V25" s="135" t="str">
        <f t="shared" si="0"/>
        <v/>
      </c>
      <c r="W25" s="136"/>
      <c r="X25" s="136"/>
      <c r="Y25" s="137"/>
      <c r="Z25" s="127"/>
      <c r="AA25" s="1"/>
      <c r="AC25" s="56"/>
      <c r="AD25" s="56"/>
    </row>
    <row r="26" spans="1:30" ht="36" customHeight="1" x14ac:dyDescent="0.25">
      <c r="A26" s="168"/>
      <c r="B26" s="141"/>
      <c r="C26" s="142"/>
      <c r="D26" s="142"/>
      <c r="E26" s="142"/>
      <c r="F26" s="142"/>
      <c r="G26" s="142"/>
      <c r="H26" s="143"/>
      <c r="I26" s="144"/>
      <c r="J26" s="145"/>
      <c r="K26" s="145"/>
      <c r="L26" s="145"/>
      <c r="M26" s="145"/>
      <c r="N26" s="146"/>
      <c r="O26" s="156"/>
      <c r="P26" s="157"/>
      <c r="Q26" s="158"/>
      <c r="R26" s="164"/>
      <c r="S26" s="165"/>
      <c r="T26" s="165"/>
      <c r="U26" s="166"/>
      <c r="V26" s="135" t="str">
        <f t="shared" si="0"/>
        <v/>
      </c>
      <c r="W26" s="136"/>
      <c r="X26" s="136"/>
      <c r="Y26" s="137"/>
      <c r="Z26" s="127"/>
      <c r="AA26" s="1"/>
      <c r="AC26" s="56"/>
      <c r="AD26" s="56"/>
    </row>
    <row r="27" spans="1:30" ht="36" customHeight="1" x14ac:dyDescent="0.25">
      <c r="A27" s="168"/>
      <c r="B27" s="141"/>
      <c r="C27" s="142"/>
      <c r="D27" s="142"/>
      <c r="E27" s="142"/>
      <c r="F27" s="142"/>
      <c r="G27" s="142"/>
      <c r="H27" s="143"/>
      <c r="I27" s="144"/>
      <c r="J27" s="145"/>
      <c r="K27" s="145"/>
      <c r="L27" s="145"/>
      <c r="M27" s="145"/>
      <c r="N27" s="146"/>
      <c r="O27" s="147"/>
      <c r="P27" s="148"/>
      <c r="Q27" s="149"/>
      <c r="R27" s="83"/>
      <c r="S27" s="83"/>
      <c r="T27" s="83"/>
      <c r="U27" s="83"/>
      <c r="V27" s="135" t="str">
        <f t="shared" si="0"/>
        <v/>
      </c>
      <c r="W27" s="136"/>
      <c r="X27" s="136"/>
      <c r="Y27" s="137"/>
      <c r="Z27" s="127"/>
      <c r="AA27" s="1"/>
    </row>
    <row r="28" spans="1:30" ht="36" customHeight="1" x14ac:dyDescent="0.25">
      <c r="A28" s="168"/>
      <c r="B28" s="141"/>
      <c r="C28" s="142"/>
      <c r="D28" s="142"/>
      <c r="E28" s="142"/>
      <c r="F28" s="142"/>
      <c r="G28" s="142"/>
      <c r="H28" s="143"/>
      <c r="I28" s="144"/>
      <c r="J28" s="145"/>
      <c r="K28" s="145"/>
      <c r="L28" s="145"/>
      <c r="M28" s="145"/>
      <c r="N28" s="146"/>
      <c r="O28" s="147"/>
      <c r="P28" s="148"/>
      <c r="Q28" s="149"/>
      <c r="R28" s="83"/>
      <c r="S28" s="83"/>
      <c r="T28" s="83"/>
      <c r="U28" s="83"/>
      <c r="V28" s="135" t="str">
        <f t="shared" si="0"/>
        <v/>
      </c>
      <c r="W28" s="136"/>
      <c r="X28" s="136"/>
      <c r="Y28" s="137"/>
      <c r="Z28" s="127"/>
      <c r="AA28" s="1"/>
    </row>
    <row r="29" spans="1:30" ht="36" customHeight="1" x14ac:dyDescent="0.25">
      <c r="A29" s="168"/>
      <c r="B29" s="150"/>
      <c r="C29" s="151"/>
      <c r="D29" s="151"/>
      <c r="E29" s="151"/>
      <c r="F29" s="151"/>
      <c r="G29" s="151"/>
      <c r="H29" s="152"/>
      <c r="I29" s="153"/>
      <c r="J29" s="154"/>
      <c r="K29" s="154"/>
      <c r="L29" s="154"/>
      <c r="M29" s="154"/>
      <c r="N29" s="155"/>
      <c r="O29" s="156"/>
      <c r="P29" s="157"/>
      <c r="Q29" s="158"/>
      <c r="R29" s="83"/>
      <c r="S29" s="83"/>
      <c r="T29" s="83"/>
      <c r="U29" s="83"/>
      <c r="V29" s="135" t="str">
        <f t="shared" si="0"/>
        <v/>
      </c>
      <c r="W29" s="136"/>
      <c r="X29" s="136"/>
      <c r="Y29" s="137"/>
      <c r="Z29" s="127"/>
      <c r="AA29" s="1"/>
    </row>
    <row r="30" spans="1:30" ht="7.35" customHeight="1" x14ac:dyDescent="0.25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59"/>
      <c r="S30" s="159"/>
      <c r="T30" s="159"/>
      <c r="U30" s="159"/>
      <c r="V30" s="159"/>
      <c r="W30" s="159"/>
      <c r="X30" s="159"/>
      <c r="Y30" s="159"/>
      <c r="Z30" s="127"/>
      <c r="AA30" s="1"/>
    </row>
    <row r="31" spans="1:30" ht="18" customHeight="1" x14ac:dyDescent="0.25">
      <c r="A31" s="133" t="s">
        <v>10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60"/>
      <c r="R31" s="161" t="str">
        <f>IF(SUM(R22:R29)&gt;0,SUM(R22:R29),"")</f>
        <v/>
      </c>
      <c r="S31" s="162"/>
      <c r="T31" s="162"/>
      <c r="U31" s="163"/>
      <c r="V31" s="161" t="str">
        <f>IF(SUM(V22:V29)&gt;0,SUM(V22:V29),"")</f>
        <v/>
      </c>
      <c r="W31" s="161"/>
      <c r="X31" s="161"/>
      <c r="Y31" s="161"/>
      <c r="Z31" s="127"/>
      <c r="AA31" s="1"/>
    </row>
    <row r="32" spans="1:30" ht="18" customHeight="1" x14ac:dyDescent="0.25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60"/>
      <c r="R32" s="128"/>
      <c r="S32" s="129"/>
      <c r="T32" s="129"/>
      <c r="U32" s="130"/>
      <c r="V32" s="161"/>
      <c r="W32" s="161"/>
      <c r="X32" s="161"/>
      <c r="Y32" s="161"/>
      <c r="Z32" s="127"/>
      <c r="AA32" s="1"/>
    </row>
    <row r="33" spans="1:27" ht="7.35" customHeight="1" x14ac:dyDescent="0.25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"/>
    </row>
    <row r="34" spans="1:27" ht="18" customHeight="1" x14ac:dyDescent="0.25">
      <c r="A34" s="132" t="s">
        <v>180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"/>
    </row>
    <row r="35" spans="1:27" ht="7.35" customHeight="1" thickBot="1" x14ac:dyDescent="0.3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"/>
    </row>
    <row r="36" spans="1:27" ht="18" customHeight="1" x14ac:dyDescent="0.25">
      <c r="A36" s="127"/>
      <c r="B36" s="133" t="s">
        <v>18</v>
      </c>
      <c r="C36" s="133"/>
      <c r="D36" s="133"/>
      <c r="E36" s="133"/>
      <c r="F36" s="127" t="s">
        <v>13</v>
      </c>
      <c r="G36" s="134" t="s">
        <v>14</v>
      </c>
      <c r="H36" s="134"/>
      <c r="I36" s="134"/>
      <c r="J36" s="134"/>
      <c r="K36" s="127" t="s">
        <v>13</v>
      </c>
      <c r="L36" s="135" t="str">
        <f>IF(ISNUMBER(V31),V31,"")</f>
        <v/>
      </c>
      <c r="M36" s="136"/>
      <c r="N36" s="136"/>
      <c r="O36" s="137"/>
      <c r="P36" s="138" t="s">
        <v>15</v>
      </c>
      <c r="Q36" s="140" t="s">
        <v>18</v>
      </c>
      <c r="R36" s="140"/>
      <c r="S36" s="140"/>
      <c r="T36" s="140"/>
      <c r="U36" s="119" t="s">
        <v>13</v>
      </c>
      <c r="V36" s="120" t="str">
        <f>IF(ISNUMBER(L37),L36/L37,"")</f>
        <v/>
      </c>
      <c r="W36" s="121"/>
      <c r="X36" s="121"/>
      <c r="Y36" s="122"/>
      <c r="Z36" s="126"/>
      <c r="AA36" s="1"/>
    </row>
    <row r="37" spans="1:27" ht="18" customHeight="1" thickBot="1" x14ac:dyDescent="0.3">
      <c r="A37" s="127"/>
      <c r="B37" s="133"/>
      <c r="C37" s="133"/>
      <c r="D37" s="133"/>
      <c r="E37" s="133"/>
      <c r="F37" s="127"/>
      <c r="G37" s="127" t="s">
        <v>16</v>
      </c>
      <c r="H37" s="127"/>
      <c r="I37" s="127"/>
      <c r="J37" s="127"/>
      <c r="K37" s="127"/>
      <c r="L37" s="128" t="str">
        <f>IF(ISNUMBER(R31),R31,"")</f>
        <v/>
      </c>
      <c r="M37" s="129"/>
      <c r="N37" s="129"/>
      <c r="O37" s="130"/>
      <c r="P37" s="139"/>
      <c r="Q37" s="140"/>
      <c r="R37" s="140"/>
      <c r="S37" s="140"/>
      <c r="T37" s="140"/>
      <c r="U37" s="119"/>
      <c r="V37" s="123"/>
      <c r="W37" s="124"/>
      <c r="X37" s="124"/>
      <c r="Y37" s="125"/>
      <c r="Z37" s="126"/>
      <c r="AA37" s="1"/>
    </row>
    <row r="38" spans="1:27" ht="18" customHeight="1" x14ac:dyDescent="0.25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"/>
    </row>
    <row r="39" spans="1:27" ht="18" customHeight="1" x14ac:dyDescent="0.25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"/>
    </row>
    <row r="40" spans="1:27" ht="18" customHeight="1" x14ac:dyDescent="0.2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1"/>
    </row>
    <row r="41" spans="1:27" ht="18" customHeight="1" x14ac:dyDescent="0.2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1"/>
    </row>
    <row r="42" spans="1:27" ht="18" customHeight="1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1"/>
    </row>
    <row r="43" spans="1:27" ht="18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8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8" customHeight="1" x14ac:dyDescent="0.25"/>
  </sheetData>
  <sheetProtection algorithmName="SHA-512" hashValue="MdADp/REO/nWZSYn63RIKCnRp4ng2G5MkSSQxPFOk4r0/UoMInDHF3QbcLRxzdsWWwLE040GBTUCUT0trIlC1Q==" saltValue="TV053JjBDHv1LignR7cseg==" spinCount="100000" sheet="1" selectLockedCells="1"/>
  <mergeCells count="101">
    <mergeCell ref="A4:Z4"/>
    <mergeCell ref="A5:C5"/>
    <mergeCell ref="D5:P5"/>
    <mergeCell ref="Q5:U5"/>
    <mergeCell ref="V5:Z5"/>
    <mergeCell ref="A6:Z6"/>
    <mergeCell ref="A1:Z1"/>
    <mergeCell ref="A2:Z2"/>
    <mergeCell ref="A3:C3"/>
    <mergeCell ref="D3:P3"/>
    <mergeCell ref="Q3:U3"/>
    <mergeCell ref="V3:Z3"/>
    <mergeCell ref="C13:N13"/>
    <mergeCell ref="P13:Y13"/>
    <mergeCell ref="A14:Z14"/>
    <mergeCell ref="A15:Z15"/>
    <mergeCell ref="A16:Z16"/>
    <mergeCell ref="C17:N17"/>
    <mergeCell ref="P17:Y17"/>
    <mergeCell ref="A7:Z7"/>
    <mergeCell ref="A8:Z8"/>
    <mergeCell ref="A9:A13"/>
    <mergeCell ref="C9:N9"/>
    <mergeCell ref="P9:Y9"/>
    <mergeCell ref="Z9:Z13"/>
    <mergeCell ref="B10:Y10"/>
    <mergeCell ref="C11:N11"/>
    <mergeCell ref="R11:Y11"/>
    <mergeCell ref="B12:Y12"/>
    <mergeCell ref="A18:Z18"/>
    <mergeCell ref="A19:Z19"/>
    <mergeCell ref="A20:Z20"/>
    <mergeCell ref="A21:A29"/>
    <mergeCell ref="B21:H21"/>
    <mergeCell ref="I21:N21"/>
    <mergeCell ref="O21:Q21"/>
    <mergeCell ref="R21:U21"/>
    <mergeCell ref="V21:Y21"/>
    <mergeCell ref="Z21:Z32"/>
    <mergeCell ref="B22:H22"/>
    <mergeCell ref="I22:N22"/>
    <mergeCell ref="O22:Q22"/>
    <mergeCell ref="R22:U22"/>
    <mergeCell ref="V22:Y22"/>
    <mergeCell ref="B23:H23"/>
    <mergeCell ref="I23:N23"/>
    <mergeCell ref="O23:Q23"/>
    <mergeCell ref="R23:U23"/>
    <mergeCell ref="V23:Y23"/>
    <mergeCell ref="B24:H24"/>
    <mergeCell ref="I24:N24"/>
    <mergeCell ref="O24:Q24"/>
    <mergeCell ref="R24:U24"/>
    <mergeCell ref="V24:Y24"/>
    <mergeCell ref="B25:H25"/>
    <mergeCell ref="I25:N25"/>
    <mergeCell ref="O25:Q25"/>
    <mergeCell ref="R25:U25"/>
    <mergeCell ref="V25:Y25"/>
    <mergeCell ref="B26:H26"/>
    <mergeCell ref="I26:N26"/>
    <mergeCell ref="O26:Q26"/>
    <mergeCell ref="R26:U26"/>
    <mergeCell ref="V26:Y26"/>
    <mergeCell ref="B27:H27"/>
    <mergeCell ref="I27:N27"/>
    <mergeCell ref="O27:Q27"/>
    <mergeCell ref="R27:U27"/>
    <mergeCell ref="V27:Y27"/>
    <mergeCell ref="A30:Q30"/>
    <mergeCell ref="R30:Y30"/>
    <mergeCell ref="A31:Q32"/>
    <mergeCell ref="R31:U32"/>
    <mergeCell ref="V31:Y32"/>
    <mergeCell ref="A33:Z33"/>
    <mergeCell ref="B28:H28"/>
    <mergeCell ref="I28:N28"/>
    <mergeCell ref="O28:Q28"/>
    <mergeCell ref="R28:U28"/>
    <mergeCell ref="V28:Y28"/>
    <mergeCell ref="B29:H29"/>
    <mergeCell ref="I29:N29"/>
    <mergeCell ref="O29:Q29"/>
    <mergeCell ref="R29:U29"/>
    <mergeCell ref="V29:Y29"/>
    <mergeCell ref="U36:U37"/>
    <mergeCell ref="V36:Y37"/>
    <mergeCell ref="Z36:Z37"/>
    <mergeCell ref="G37:J37"/>
    <mergeCell ref="L37:O37"/>
    <mergeCell ref="A38:Z39"/>
    <mergeCell ref="A34:Z34"/>
    <mergeCell ref="A35:Z35"/>
    <mergeCell ref="A36:A37"/>
    <mergeCell ref="B36:E37"/>
    <mergeCell ref="F36:F37"/>
    <mergeCell ref="G36:J36"/>
    <mergeCell ref="K36:K37"/>
    <mergeCell ref="L36:O36"/>
    <mergeCell ref="P36:P37"/>
    <mergeCell ref="Q36:T37"/>
  </mergeCells>
  <dataValidations disablePrompts="1" count="2">
    <dataValidation type="list" allowBlank="1" showInputMessage="1" showErrorMessage="1" sqref="B9 B11 B13 O9 O11" xr:uid="{747ADF3F-E562-4025-9005-0754C41EAD26}">
      <formula1>$AA$9:$AB$9</formula1>
    </dataValidation>
    <dataValidation type="list" allowBlank="1" showInputMessage="1" showErrorMessage="1" sqref="B17 O17" xr:uid="{9CC0D39B-F5AB-48F0-8BE9-7C62F1E072C2}">
      <formula1>$AA$17:$AB$17</formula1>
    </dataValidation>
  </dataValidations>
  <printOptions horizontalCentered="1"/>
  <pageMargins left="1" right="1" top="0.5" bottom="0.5" header="0" footer="0"/>
  <pageSetup orientation="portrait" r:id="rId1"/>
  <headerFooter>
    <oddFooter xml:space="preserve">&amp;L4/7/2022
</oddFooter>
  </headerFooter>
  <colBreaks count="1" manualBreakCount="1">
    <brk id="26" max="1048575" man="1"/>
  </colBreaks>
  <drawing r:id="rId2"/>
  <legacyDrawing r:id="rId3"/>
  <oleObjects>
    <mc:AlternateContent xmlns:mc="http://schemas.openxmlformats.org/markup-compatibility/2006">
      <mc:Choice Requires="x14">
        <oleObject progId="Word.Document.12" shapeId="7171" r:id="rId4">
          <objectPr defaultSize="0" r:id="rId5">
            <anchor moveWithCells="1">
              <from>
                <xdr:col>30</xdr:col>
                <xdr:colOff>66675</xdr:colOff>
                <xdr:row>18</xdr:row>
                <xdr:rowOff>209550</xdr:rowOff>
              </from>
              <to>
                <xdr:col>56</xdr:col>
                <xdr:colOff>133350</xdr:colOff>
                <xdr:row>38</xdr:row>
                <xdr:rowOff>47625</xdr:rowOff>
              </to>
            </anchor>
          </objectPr>
        </oleObject>
      </mc:Choice>
      <mc:Fallback>
        <oleObject progId="Word.Document.12" shapeId="7171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7"/>
  <sheetViews>
    <sheetView showGridLines="0" zoomScaleNormal="100" zoomScaleSheetLayoutView="220" zoomScalePageLayoutView="175" workbookViewId="0">
      <selection activeCell="D3" sqref="D3:P3"/>
    </sheetView>
  </sheetViews>
  <sheetFormatPr defaultColWidth="3.140625" defaultRowHeight="18" customHeight="1" x14ac:dyDescent="0.25"/>
  <cols>
    <col min="1" max="16384" width="3.140625" style="2"/>
  </cols>
  <sheetData>
    <row r="1" spans="1:27" ht="18" customHeight="1" thickBot="1" x14ac:dyDescent="0.3">
      <c r="A1" s="99" t="s">
        <v>109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1"/>
    </row>
    <row r="2" spans="1:27" ht="7.35" customHeight="1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"/>
    </row>
    <row r="3" spans="1:27" ht="18" customHeight="1" x14ac:dyDescent="0.25">
      <c r="A3" s="101" t="s">
        <v>0</v>
      </c>
      <c r="B3" s="101"/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3" t="s">
        <v>1</v>
      </c>
      <c r="R3" s="103"/>
      <c r="S3" s="103"/>
      <c r="T3" s="103"/>
      <c r="U3" s="103"/>
      <c r="V3" s="104"/>
      <c r="W3" s="104"/>
      <c r="X3" s="104"/>
      <c r="Y3" s="104"/>
      <c r="Z3" s="104"/>
      <c r="AA3" s="1"/>
    </row>
    <row r="4" spans="1:27" ht="7.35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1"/>
    </row>
    <row r="5" spans="1:27" ht="18" customHeight="1" x14ac:dyDescent="0.25">
      <c r="A5" s="101" t="s">
        <v>2</v>
      </c>
      <c r="B5" s="101"/>
      <c r="C5" s="101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3" t="s">
        <v>3</v>
      </c>
      <c r="R5" s="103"/>
      <c r="S5" s="103"/>
      <c r="T5" s="103"/>
      <c r="U5" s="103"/>
      <c r="V5" s="108"/>
      <c r="W5" s="108"/>
      <c r="X5" s="108"/>
      <c r="Y5" s="108"/>
      <c r="Z5" s="108"/>
      <c r="AA5" s="1"/>
    </row>
    <row r="6" spans="1:27" ht="7.35" customHeight="1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1"/>
    </row>
    <row r="7" spans="1:27" ht="18" customHeight="1" x14ac:dyDescent="0.25">
      <c r="A7" s="70" t="s">
        <v>122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1"/>
    </row>
    <row r="8" spans="1:27" ht="7.35" customHeight="1" x14ac:dyDescent="0.25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1"/>
    </row>
    <row r="9" spans="1:27" ht="32.25" customHeight="1" x14ac:dyDescent="0.25">
      <c r="A9" s="4"/>
      <c r="B9" s="9" t="s">
        <v>48</v>
      </c>
      <c r="C9" s="74" t="s">
        <v>118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184"/>
      <c r="R9" s="185"/>
      <c r="S9" s="191"/>
      <c r="T9" s="192"/>
      <c r="U9" s="192"/>
      <c r="V9" s="192"/>
      <c r="W9" s="192"/>
      <c r="X9" s="193"/>
      <c r="Y9" s="11" t="s">
        <v>46</v>
      </c>
      <c r="Z9" s="5"/>
      <c r="AA9" s="1"/>
    </row>
    <row r="10" spans="1:27" ht="32.25" customHeight="1" x14ac:dyDescent="0.25">
      <c r="A10" s="4"/>
      <c r="B10" s="9" t="s">
        <v>47</v>
      </c>
      <c r="C10" s="71" t="s">
        <v>119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184"/>
      <c r="R10" s="185"/>
      <c r="S10" s="191"/>
      <c r="T10" s="192"/>
      <c r="U10" s="192"/>
      <c r="V10" s="192"/>
      <c r="W10" s="192"/>
      <c r="X10" s="193"/>
      <c r="Y10" s="11" t="s">
        <v>46</v>
      </c>
      <c r="Z10" s="5"/>
      <c r="AA10" s="1"/>
    </row>
    <row r="11" spans="1:27" ht="32.25" customHeight="1" x14ac:dyDescent="0.25">
      <c r="A11" s="4"/>
      <c r="B11" s="9" t="s">
        <v>45</v>
      </c>
      <c r="C11" s="71" t="s">
        <v>18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197"/>
      <c r="R11" s="198"/>
      <c r="S11" s="164"/>
      <c r="T11" s="165"/>
      <c r="U11" s="165"/>
      <c r="V11" s="165"/>
      <c r="W11" s="165"/>
      <c r="X11" s="166"/>
      <c r="Y11" s="199"/>
      <c r="Z11" s="111"/>
      <c r="AA11" s="1"/>
    </row>
    <row r="12" spans="1:27" ht="32.25" customHeight="1" x14ac:dyDescent="0.25">
      <c r="A12" s="4"/>
      <c r="B12" s="9" t="s">
        <v>44</v>
      </c>
      <c r="C12" s="74" t="s">
        <v>43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184"/>
      <c r="R12" s="185"/>
      <c r="S12" s="191"/>
      <c r="T12" s="192"/>
      <c r="U12" s="192"/>
      <c r="V12" s="192"/>
      <c r="W12" s="192"/>
      <c r="X12" s="193"/>
      <c r="Y12" s="11" t="s">
        <v>27</v>
      </c>
      <c r="Z12" s="5"/>
      <c r="AA12" s="1"/>
    </row>
    <row r="13" spans="1:27" ht="32.25" customHeight="1" x14ac:dyDescent="0.25">
      <c r="A13" s="4"/>
      <c r="B13" s="10" t="s">
        <v>42</v>
      </c>
      <c r="C13" s="71" t="s">
        <v>41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184"/>
      <c r="R13" s="185"/>
      <c r="S13" s="105">
        <v>8.57</v>
      </c>
      <c r="T13" s="105"/>
      <c r="U13" s="105"/>
      <c r="V13" s="105"/>
      <c r="W13" s="105"/>
      <c r="X13" s="105"/>
      <c r="Y13" s="73" t="s">
        <v>22</v>
      </c>
      <c r="Z13" s="74"/>
      <c r="AA13" s="1"/>
    </row>
    <row r="14" spans="1:27" ht="7.35" customHeight="1" x14ac:dyDescent="0.25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"/>
    </row>
    <row r="15" spans="1:27" ht="18" customHeight="1" x14ac:dyDescent="0.25">
      <c r="A15" s="70" t="s">
        <v>40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1"/>
    </row>
    <row r="16" spans="1:27" ht="7.35" customHeight="1" x14ac:dyDescent="0.25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1"/>
    </row>
    <row r="17" spans="1:27" ht="32.25" customHeight="1" x14ac:dyDescent="0.25">
      <c r="A17" s="74"/>
      <c r="B17" s="9" t="s">
        <v>39</v>
      </c>
      <c r="C17" s="71" t="s">
        <v>38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184"/>
      <c r="R17" s="185"/>
      <c r="S17" s="88" t="str">
        <f>IF(ISNUMBER(S11),(1000/S11)-10,"")</f>
        <v/>
      </c>
      <c r="T17" s="89"/>
      <c r="U17" s="89"/>
      <c r="V17" s="89"/>
      <c r="W17" s="89"/>
      <c r="X17" s="90"/>
      <c r="Y17" s="73" t="s">
        <v>22</v>
      </c>
      <c r="Z17" s="74"/>
      <c r="AA17" s="1"/>
    </row>
    <row r="18" spans="1:27" ht="32.25" customHeight="1" x14ac:dyDescent="0.25">
      <c r="A18" s="74"/>
      <c r="B18" s="9" t="s">
        <v>37</v>
      </c>
      <c r="C18" s="71" t="s">
        <v>36</v>
      </c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184"/>
      <c r="R18" s="185"/>
      <c r="S18" s="88" t="str">
        <f>IF(AND(ISNUMBER(S13),ISNUMBER(S17)),((S13-0.2*S17)^2)/(S13+0.8*S17),"")</f>
        <v/>
      </c>
      <c r="T18" s="89"/>
      <c r="U18" s="89"/>
      <c r="V18" s="89"/>
      <c r="W18" s="89"/>
      <c r="X18" s="90"/>
      <c r="Y18" s="73" t="s">
        <v>22</v>
      </c>
      <c r="Z18" s="74"/>
      <c r="AA18" s="1"/>
    </row>
    <row r="19" spans="1:27" ht="32.25" customHeight="1" x14ac:dyDescent="0.25">
      <c r="A19" s="74"/>
      <c r="B19" s="9" t="s">
        <v>35</v>
      </c>
      <c r="C19" s="74" t="s">
        <v>84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184"/>
      <c r="R19" s="185"/>
      <c r="S19" s="72" t="str">
        <f>IF(AND(ISNUMBER(S9),ISNUMBER(S18)),(S18/12)*S9,"")</f>
        <v/>
      </c>
      <c r="T19" s="72"/>
      <c r="U19" s="72"/>
      <c r="V19" s="72"/>
      <c r="W19" s="72"/>
      <c r="X19" s="72"/>
      <c r="Y19" s="73" t="s">
        <v>27</v>
      </c>
      <c r="Z19" s="74"/>
      <c r="AA19" s="1"/>
    </row>
    <row r="20" spans="1:27" ht="7.35" customHeight="1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1"/>
    </row>
    <row r="21" spans="1:27" ht="18" customHeight="1" x14ac:dyDescent="0.25">
      <c r="A21" s="70" t="s">
        <v>34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1"/>
    </row>
    <row r="22" spans="1:27" ht="7.35" customHeight="1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1"/>
    </row>
    <row r="23" spans="1:27" ht="32.25" customHeight="1" x14ac:dyDescent="0.25">
      <c r="A23" s="74"/>
      <c r="B23" s="9" t="s">
        <v>33</v>
      </c>
      <c r="C23" s="74" t="s">
        <v>32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184"/>
      <c r="R23" s="185"/>
      <c r="S23" s="187" t="str">
        <f>IF(ISNUMBER(S10),S10/12,"")</f>
        <v/>
      </c>
      <c r="T23" s="188"/>
      <c r="U23" s="188"/>
      <c r="V23" s="188"/>
      <c r="W23" s="188"/>
      <c r="X23" s="189"/>
      <c r="Y23" s="73" t="s">
        <v>27</v>
      </c>
      <c r="Z23" s="74"/>
      <c r="AA23" s="1"/>
    </row>
    <row r="24" spans="1:27" ht="32.25" customHeight="1" x14ac:dyDescent="0.25">
      <c r="A24" s="74"/>
      <c r="B24" s="9" t="s">
        <v>31</v>
      </c>
      <c r="C24" s="74" t="s">
        <v>120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184"/>
      <c r="R24" s="185"/>
      <c r="S24" s="190" t="str">
        <f>IF(AND(ISNUMBER(S12),ISNUMBER(S23)),S12-S23,"")</f>
        <v/>
      </c>
      <c r="T24" s="190"/>
      <c r="U24" s="190"/>
      <c r="V24" s="190"/>
      <c r="W24" s="190"/>
      <c r="X24" s="190"/>
      <c r="Y24" s="73" t="s">
        <v>27</v>
      </c>
      <c r="Z24" s="74"/>
      <c r="AA24" s="1"/>
    </row>
    <row r="25" spans="1:27" ht="7.35" customHeight="1" x14ac:dyDescent="0.25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1"/>
    </row>
    <row r="26" spans="1:27" ht="18" customHeight="1" x14ac:dyDescent="0.25">
      <c r="A26" s="70" t="s">
        <v>30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1"/>
    </row>
    <row r="27" spans="1:27" ht="7.35" customHeight="1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1"/>
    </row>
    <row r="28" spans="1:27" ht="32.25" customHeight="1" x14ac:dyDescent="0.25">
      <c r="A28" s="74"/>
      <c r="B28" s="9" t="s">
        <v>29</v>
      </c>
      <c r="C28" s="74" t="s">
        <v>28</v>
      </c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184"/>
      <c r="R28" s="185"/>
      <c r="S28" s="187" t="str">
        <f>IF(AND(ISNUMBER(S12),ISNUMBER(S19)),S19-S12,"")</f>
        <v/>
      </c>
      <c r="T28" s="188"/>
      <c r="U28" s="188"/>
      <c r="V28" s="188"/>
      <c r="W28" s="188"/>
      <c r="X28" s="189"/>
      <c r="Y28" s="73" t="s">
        <v>27</v>
      </c>
      <c r="Z28" s="74"/>
      <c r="AA28" s="1"/>
    </row>
    <row r="29" spans="1:27" ht="32.25" customHeight="1" x14ac:dyDescent="0.25">
      <c r="A29" s="74"/>
      <c r="B29" s="9" t="s">
        <v>26</v>
      </c>
      <c r="C29" s="74" t="s">
        <v>25</v>
      </c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184"/>
      <c r="R29" s="185"/>
      <c r="S29" s="88" t="str">
        <f>IF(ISNUMBER(S28),(S28/S9)*12,"")</f>
        <v/>
      </c>
      <c r="T29" s="89"/>
      <c r="U29" s="89"/>
      <c r="V29" s="89"/>
      <c r="W29" s="89"/>
      <c r="X29" s="90"/>
      <c r="Y29" s="73" t="s">
        <v>22</v>
      </c>
      <c r="Z29" s="74"/>
      <c r="AA29" s="1"/>
    </row>
    <row r="30" spans="1:27" ht="32.25" customHeight="1" x14ac:dyDescent="0.25">
      <c r="A30" s="74"/>
      <c r="B30" s="9" t="s">
        <v>24</v>
      </c>
      <c r="C30" s="74" t="s">
        <v>23</v>
      </c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184"/>
      <c r="R30" s="185"/>
      <c r="S30" s="72" t="str">
        <f>IF(ISNUMBER(S29),(((0.4*S13)+(0.8*S29))-(0.8*S13*S29+0.64*S29^2)^(1/2))/0.08,"")</f>
        <v/>
      </c>
      <c r="T30" s="72"/>
      <c r="U30" s="72"/>
      <c r="V30" s="72"/>
      <c r="W30" s="72"/>
      <c r="X30" s="72"/>
      <c r="Y30" s="73" t="s">
        <v>22</v>
      </c>
      <c r="Z30" s="74"/>
      <c r="AA30" s="1"/>
    </row>
    <row r="31" spans="1:27" ht="7.35" customHeight="1" x14ac:dyDescent="0.25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spans="1:27" ht="18" customHeight="1" x14ac:dyDescent="0.25">
      <c r="A32" s="70" t="s">
        <v>21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</row>
    <row r="33" spans="1:26" ht="7.35" customHeight="1" thickBot="1" x14ac:dyDescent="0.3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spans="1:26" ht="32.25" customHeight="1" thickBot="1" x14ac:dyDescent="0.3">
      <c r="A34" s="5"/>
      <c r="B34" s="9" t="s">
        <v>20</v>
      </c>
      <c r="C34" s="74" t="s">
        <v>19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11"/>
      <c r="R34" s="186"/>
      <c r="S34" s="84" t="str">
        <f>IF(ISNUMBER(S30),1000/(S30+10),"")</f>
        <v/>
      </c>
      <c r="T34" s="85"/>
      <c r="U34" s="85"/>
      <c r="V34" s="85"/>
      <c r="W34" s="85"/>
      <c r="X34" s="86"/>
      <c r="Y34" s="194"/>
      <c r="Z34" s="195"/>
    </row>
    <row r="35" spans="1:26" ht="18" customHeight="1" x14ac:dyDescent="0.25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8" customHeight="1" x14ac:dyDescent="0.25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8" customHeight="1" x14ac:dyDescent="0.25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</sheetData>
  <sheetProtection algorithmName="SHA-512" hashValue="jTE1M/bPU5kAh/XVaREwYYKyOZnpz7amZ8YIh1aoOAE5vTt7pB6sYWnEyXvxCrFBddfke/DRRXBu37tYG2F8vQ==" saltValue="zGXtALcMQgxn4Tn4nPU4ZA==" spinCount="100000" sheet="1" selectLockedCells="1"/>
  <mergeCells count="83">
    <mergeCell ref="A20:Z20"/>
    <mergeCell ref="S19:X19"/>
    <mergeCell ref="S18:X18"/>
    <mergeCell ref="C18:P18"/>
    <mergeCell ref="C17:P17"/>
    <mergeCell ref="Y19:Z19"/>
    <mergeCell ref="C19:P19"/>
    <mergeCell ref="Q18:R18"/>
    <mergeCell ref="Q19:R19"/>
    <mergeCell ref="A8:Z8"/>
    <mergeCell ref="S17:X17"/>
    <mergeCell ref="S9:X9"/>
    <mergeCell ref="S12:X12"/>
    <mergeCell ref="S11:X11"/>
    <mergeCell ref="Y13:Z13"/>
    <mergeCell ref="A16:Z16"/>
    <mergeCell ref="Q9:R9"/>
    <mergeCell ref="Q10:R10"/>
    <mergeCell ref="Q13:R13"/>
    <mergeCell ref="Q11:R11"/>
    <mergeCell ref="Q12:R12"/>
    <mergeCell ref="A14:Z14"/>
    <mergeCell ref="Y11:Z11"/>
    <mergeCell ref="A17:A19"/>
    <mergeCell ref="S13:X13"/>
    <mergeCell ref="A2:Z2"/>
    <mergeCell ref="A1:Z1"/>
    <mergeCell ref="D5:P5"/>
    <mergeCell ref="D3:P3"/>
    <mergeCell ref="A6:Z6"/>
    <mergeCell ref="A4:Z4"/>
    <mergeCell ref="A5:C5"/>
    <mergeCell ref="A3:C3"/>
    <mergeCell ref="Q3:U3"/>
    <mergeCell ref="Q5:U5"/>
    <mergeCell ref="V5:Z5"/>
    <mergeCell ref="V3:Z3"/>
    <mergeCell ref="Y24:Z24"/>
    <mergeCell ref="Y23:Z23"/>
    <mergeCell ref="C28:P28"/>
    <mergeCell ref="Q28:R28"/>
    <mergeCell ref="A25:Z25"/>
    <mergeCell ref="A23:A24"/>
    <mergeCell ref="Q23:R23"/>
    <mergeCell ref="Q24:R24"/>
    <mergeCell ref="A31:Z31"/>
    <mergeCell ref="Y34:Z34"/>
    <mergeCell ref="A28:A30"/>
    <mergeCell ref="A27:Z27"/>
    <mergeCell ref="C30:P30"/>
    <mergeCell ref="C29:P29"/>
    <mergeCell ref="A7:Z7"/>
    <mergeCell ref="A26:Z26"/>
    <mergeCell ref="A21:Z21"/>
    <mergeCell ref="Y18:Z18"/>
    <mergeCell ref="Y17:Z17"/>
    <mergeCell ref="C12:P12"/>
    <mergeCell ref="S24:X24"/>
    <mergeCell ref="C24:P24"/>
    <mergeCell ref="A22:Z22"/>
    <mergeCell ref="C11:P11"/>
    <mergeCell ref="C10:P10"/>
    <mergeCell ref="C9:P9"/>
    <mergeCell ref="A15:Z15"/>
    <mergeCell ref="S10:X10"/>
    <mergeCell ref="C13:P13"/>
    <mergeCell ref="Q17:R17"/>
    <mergeCell ref="A35:Z37"/>
    <mergeCell ref="C23:P23"/>
    <mergeCell ref="Q29:R29"/>
    <mergeCell ref="Q30:R30"/>
    <mergeCell ref="Q34:R34"/>
    <mergeCell ref="C34:P34"/>
    <mergeCell ref="Y30:Z30"/>
    <mergeCell ref="Y29:Z29"/>
    <mergeCell ref="Y28:Z28"/>
    <mergeCell ref="S34:X34"/>
    <mergeCell ref="S30:X30"/>
    <mergeCell ref="S29:X29"/>
    <mergeCell ref="S28:X28"/>
    <mergeCell ref="S23:X23"/>
    <mergeCell ref="A32:Z32"/>
    <mergeCell ref="A33:Z33"/>
  </mergeCells>
  <printOptions horizontalCentered="1"/>
  <pageMargins left="1" right="1" top="0.5" bottom="0.5" header="0" footer="0"/>
  <pageSetup orientation="portrait" r:id="rId1"/>
  <headerFooter>
    <oddFooter xml:space="preserve">&amp;L4/7/2022
</oddFooter>
  </headerFooter>
  <colBreaks count="1" manualBreakCount="1">
    <brk id="26" max="1048575" man="1"/>
  </colBreaks>
  <ignoredErrors>
    <ignoredError sqref="A14:Z18 A9:R9 Y9:Z9 A10:R10 Y10:Z10 A11:R11 Y11:Z11 A12:R12 Y12:Z12 A13:R13 Y13:Z13 A20:Z34 A19:B19 D19:Z19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4"/>
  <sheetViews>
    <sheetView showGridLines="0" zoomScaleNormal="100" zoomScaleSheetLayoutView="220" zoomScalePageLayoutView="130" workbookViewId="0">
      <selection activeCell="D3" sqref="D3:P3"/>
    </sheetView>
  </sheetViews>
  <sheetFormatPr defaultColWidth="3.140625" defaultRowHeight="13.9" customHeight="1" x14ac:dyDescent="0.25"/>
  <cols>
    <col min="1" max="27" width="3.140625" style="2"/>
    <col min="28" max="28" width="0" style="2" hidden="1" customWidth="1"/>
    <col min="29" max="16384" width="3.140625" style="2"/>
  </cols>
  <sheetData>
    <row r="1" spans="1:29" ht="18" customHeight="1" thickBot="1" x14ac:dyDescent="0.3">
      <c r="A1" s="99" t="s">
        <v>174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</row>
    <row r="2" spans="1:29" ht="7.35" customHeight="1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</row>
    <row r="3" spans="1:29" ht="18" customHeight="1" x14ac:dyDescent="0.25">
      <c r="A3" s="101" t="s">
        <v>0</v>
      </c>
      <c r="B3" s="101"/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3" t="s">
        <v>1</v>
      </c>
      <c r="R3" s="103"/>
      <c r="S3" s="103"/>
      <c r="T3" s="103"/>
      <c r="U3" s="103"/>
      <c r="V3" s="104"/>
      <c r="W3" s="104"/>
      <c r="X3" s="104"/>
      <c r="Y3" s="104"/>
      <c r="Z3" s="104"/>
      <c r="AA3" s="3"/>
      <c r="AB3" s="4"/>
      <c r="AC3" s="4"/>
    </row>
    <row r="4" spans="1:29" ht="7.35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5"/>
      <c r="AB4" s="4"/>
      <c r="AC4" s="4"/>
    </row>
    <row r="5" spans="1:29" ht="18" customHeight="1" x14ac:dyDescent="0.25">
      <c r="A5" s="101" t="s">
        <v>2</v>
      </c>
      <c r="B5" s="101"/>
      <c r="C5" s="101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3" t="s">
        <v>3</v>
      </c>
      <c r="R5" s="103"/>
      <c r="S5" s="103"/>
      <c r="T5" s="103"/>
      <c r="U5" s="103"/>
      <c r="V5" s="108"/>
      <c r="W5" s="108"/>
      <c r="X5" s="108"/>
      <c r="Y5" s="108"/>
      <c r="Z5" s="108"/>
      <c r="AA5" s="5"/>
      <c r="AB5" s="4"/>
      <c r="AC5" s="4"/>
    </row>
    <row r="6" spans="1:29" ht="7.35" customHeight="1" x14ac:dyDescent="0.25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5"/>
      <c r="AB6" s="4"/>
      <c r="AC6" s="4"/>
    </row>
    <row r="7" spans="1:29" ht="18" customHeight="1" x14ac:dyDescent="0.25">
      <c r="A7" s="70" t="s">
        <v>166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5"/>
      <c r="AB7" s="4"/>
      <c r="AC7" s="4"/>
    </row>
    <row r="8" spans="1:29" ht="7.35" customHeight="1" x14ac:dyDescent="0.25">
      <c r="A8" s="200"/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3"/>
      <c r="AB8" s="4"/>
      <c r="AC8" s="4"/>
    </row>
    <row r="9" spans="1:29" ht="18" customHeight="1" x14ac:dyDescent="0.25">
      <c r="A9" s="200"/>
      <c r="B9" s="54"/>
      <c r="C9" s="71" t="s">
        <v>128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54"/>
      <c r="P9" s="71" t="s">
        <v>132</v>
      </c>
      <c r="Q9" s="71"/>
      <c r="R9" s="71"/>
      <c r="S9" s="71"/>
      <c r="T9" s="71"/>
      <c r="U9" s="71"/>
      <c r="V9" s="71"/>
      <c r="W9" s="71"/>
      <c r="X9" s="71"/>
      <c r="Y9" s="71"/>
      <c r="Z9" s="200"/>
      <c r="AA9" s="3"/>
      <c r="AB9" s="4" t="s">
        <v>164</v>
      </c>
      <c r="AC9" s="4"/>
    </row>
    <row r="10" spans="1:29" ht="7.35" customHeight="1" x14ac:dyDescent="0.25">
      <c r="A10" s="200"/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5"/>
      <c r="AB10" s="4"/>
      <c r="AC10" s="4"/>
    </row>
    <row r="11" spans="1:29" ht="18" customHeight="1" x14ac:dyDescent="0.25">
      <c r="A11" s="200"/>
      <c r="B11" s="54"/>
      <c r="C11" s="71" t="s">
        <v>129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54"/>
      <c r="P11" s="10" t="s">
        <v>131</v>
      </c>
      <c r="Q11" s="10"/>
      <c r="R11" s="180"/>
      <c r="S11" s="180"/>
      <c r="T11" s="180"/>
      <c r="U11" s="180"/>
      <c r="V11" s="180"/>
      <c r="W11" s="180"/>
      <c r="X11" s="180"/>
      <c r="Y11" s="180"/>
      <c r="Z11" s="200"/>
      <c r="AA11" s="3"/>
      <c r="AB11" s="4"/>
      <c r="AC11" s="4"/>
    </row>
    <row r="12" spans="1:29" ht="7.35" customHeight="1" x14ac:dyDescent="0.25">
      <c r="A12" s="200"/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5"/>
      <c r="AB12" s="4"/>
      <c r="AC12" s="4"/>
    </row>
    <row r="13" spans="1:29" ht="18" customHeight="1" x14ac:dyDescent="0.25">
      <c r="A13" s="200"/>
      <c r="B13" s="54"/>
      <c r="C13" s="71" t="s">
        <v>130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1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B13" s="6"/>
      <c r="AC13" s="6"/>
    </row>
    <row r="14" spans="1:29" ht="7.35" customHeight="1" x14ac:dyDescent="0.25">
      <c r="A14" s="200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B14" s="6"/>
      <c r="AC14" s="6"/>
    </row>
    <row r="15" spans="1:29" ht="18" customHeight="1" x14ac:dyDescent="0.25">
      <c r="A15" s="70" t="s">
        <v>167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B15" s="6"/>
      <c r="AC15" s="6"/>
    </row>
    <row r="16" spans="1:29" ht="7.35" customHeight="1" x14ac:dyDescent="0.25">
      <c r="A16" s="200"/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</row>
    <row r="17" spans="1:28" ht="18" customHeight="1" x14ac:dyDescent="0.25">
      <c r="A17" s="22"/>
      <c r="B17" s="55"/>
      <c r="C17" s="71" t="s">
        <v>4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54"/>
      <c r="P17" s="71" t="s">
        <v>5</v>
      </c>
      <c r="Q17" s="71"/>
      <c r="R17" s="71"/>
      <c r="S17" s="71"/>
      <c r="T17" s="71"/>
      <c r="U17" s="71"/>
      <c r="V17" s="71"/>
      <c r="W17" s="71"/>
      <c r="X17" s="71"/>
      <c r="Y17" s="71"/>
      <c r="Z17" s="22"/>
      <c r="AB17" s="2" t="s">
        <v>164</v>
      </c>
    </row>
    <row r="18" spans="1:28" ht="7.35" customHeight="1" x14ac:dyDescent="0.25">
      <c r="A18" s="200"/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</row>
    <row r="19" spans="1:28" ht="18" customHeight="1" x14ac:dyDescent="0.25">
      <c r="A19" s="70" t="s">
        <v>121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</row>
    <row r="20" spans="1:28" ht="7.35" customHeight="1" x14ac:dyDescent="0.25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</row>
    <row r="21" spans="1:28" ht="36" customHeight="1" x14ac:dyDescent="0.25">
      <c r="A21" s="168"/>
      <c r="B21" s="220" t="s">
        <v>6</v>
      </c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2"/>
      <c r="O21" s="175" t="s">
        <v>7</v>
      </c>
      <c r="P21" s="176"/>
      <c r="Q21" s="177"/>
      <c r="R21" s="223" t="s">
        <v>8</v>
      </c>
      <c r="S21" s="224"/>
      <c r="T21" s="224"/>
      <c r="U21" s="224"/>
      <c r="V21" s="223" t="s">
        <v>9</v>
      </c>
      <c r="W21" s="223"/>
      <c r="X21" s="223"/>
      <c r="Y21" s="223"/>
      <c r="Z21" s="212"/>
    </row>
    <row r="22" spans="1:28" ht="36" customHeight="1" x14ac:dyDescent="0.25">
      <c r="A22" s="168"/>
      <c r="B22" s="150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2"/>
      <c r="O22" s="225"/>
      <c r="P22" s="226"/>
      <c r="Q22" s="227"/>
      <c r="R22" s="219"/>
      <c r="S22" s="219"/>
      <c r="T22" s="219"/>
      <c r="U22" s="219"/>
      <c r="V22" s="72" t="str">
        <f>IF(ISNUMBER(R22),O22*R22,"")</f>
        <v/>
      </c>
      <c r="W22" s="72"/>
      <c r="X22" s="72"/>
      <c r="Y22" s="72"/>
      <c r="Z22" s="212"/>
    </row>
    <row r="23" spans="1:28" ht="36" customHeight="1" x14ac:dyDescent="0.25">
      <c r="A23" s="168"/>
      <c r="B23" s="150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2"/>
      <c r="O23" s="225"/>
      <c r="P23" s="226"/>
      <c r="Q23" s="227"/>
      <c r="R23" s="219"/>
      <c r="S23" s="219"/>
      <c r="T23" s="219"/>
      <c r="U23" s="219"/>
      <c r="V23" s="79" t="str">
        <f t="shared" ref="V23:V29" si="0">IF(ISNUMBER(R23),O23*R23,"")</f>
        <v/>
      </c>
      <c r="W23" s="80"/>
      <c r="X23" s="80"/>
      <c r="Y23" s="81"/>
      <c r="Z23" s="212"/>
    </row>
    <row r="24" spans="1:28" ht="36" customHeight="1" x14ac:dyDescent="0.25">
      <c r="A24" s="168"/>
      <c r="B24" s="150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2"/>
      <c r="O24" s="225"/>
      <c r="P24" s="226"/>
      <c r="Q24" s="227"/>
      <c r="R24" s="219"/>
      <c r="S24" s="219"/>
      <c r="T24" s="219"/>
      <c r="U24" s="219"/>
      <c r="V24" s="79" t="str">
        <f t="shared" si="0"/>
        <v/>
      </c>
      <c r="W24" s="80"/>
      <c r="X24" s="80"/>
      <c r="Y24" s="81"/>
      <c r="Z24" s="212"/>
    </row>
    <row r="25" spans="1:28" ht="36" customHeight="1" x14ac:dyDescent="0.25">
      <c r="A25" s="168"/>
      <c r="B25" s="150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2"/>
      <c r="O25" s="164"/>
      <c r="P25" s="165"/>
      <c r="Q25" s="166"/>
      <c r="R25" s="228"/>
      <c r="S25" s="229"/>
      <c r="T25" s="229"/>
      <c r="U25" s="230"/>
      <c r="V25" s="79" t="str">
        <f t="shared" si="0"/>
        <v/>
      </c>
      <c r="W25" s="80"/>
      <c r="X25" s="80"/>
      <c r="Y25" s="81"/>
      <c r="Z25" s="212"/>
    </row>
    <row r="26" spans="1:28" ht="36" customHeight="1" x14ac:dyDescent="0.25">
      <c r="A26" s="168"/>
      <c r="B26" s="150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2"/>
      <c r="O26" s="164"/>
      <c r="P26" s="165"/>
      <c r="Q26" s="166"/>
      <c r="R26" s="228"/>
      <c r="S26" s="229"/>
      <c r="T26" s="229"/>
      <c r="U26" s="230"/>
      <c r="V26" s="79" t="str">
        <f t="shared" si="0"/>
        <v/>
      </c>
      <c r="W26" s="80"/>
      <c r="X26" s="80"/>
      <c r="Y26" s="81"/>
      <c r="Z26" s="212"/>
    </row>
    <row r="27" spans="1:28" ht="36" customHeight="1" x14ac:dyDescent="0.25">
      <c r="A27" s="168"/>
      <c r="B27" s="150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2"/>
      <c r="O27" s="225"/>
      <c r="P27" s="226"/>
      <c r="Q27" s="227"/>
      <c r="R27" s="219"/>
      <c r="S27" s="219"/>
      <c r="T27" s="219"/>
      <c r="U27" s="219"/>
      <c r="V27" s="79" t="str">
        <f t="shared" si="0"/>
        <v/>
      </c>
      <c r="W27" s="80"/>
      <c r="X27" s="80"/>
      <c r="Y27" s="81"/>
      <c r="Z27" s="212"/>
    </row>
    <row r="28" spans="1:28" ht="36" customHeight="1" x14ac:dyDescent="0.25">
      <c r="A28" s="168"/>
      <c r="B28" s="150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2"/>
      <c r="O28" s="225"/>
      <c r="P28" s="226"/>
      <c r="Q28" s="227"/>
      <c r="R28" s="219"/>
      <c r="S28" s="219"/>
      <c r="T28" s="219"/>
      <c r="U28" s="219"/>
      <c r="V28" s="79" t="str">
        <f t="shared" si="0"/>
        <v/>
      </c>
      <c r="W28" s="80"/>
      <c r="X28" s="80"/>
      <c r="Y28" s="81"/>
      <c r="Z28" s="212"/>
    </row>
    <row r="29" spans="1:28" ht="36" customHeight="1" x14ac:dyDescent="0.25">
      <c r="A29" s="168"/>
      <c r="B29" s="150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2"/>
      <c r="O29" s="164"/>
      <c r="P29" s="165"/>
      <c r="Q29" s="166"/>
      <c r="R29" s="219"/>
      <c r="S29" s="219"/>
      <c r="T29" s="219"/>
      <c r="U29" s="219"/>
      <c r="V29" s="79" t="str">
        <f t="shared" si="0"/>
        <v/>
      </c>
      <c r="W29" s="80"/>
      <c r="X29" s="80"/>
      <c r="Y29" s="81"/>
      <c r="Z29" s="212"/>
    </row>
    <row r="30" spans="1:28" ht="7.35" customHeight="1" x14ac:dyDescent="0.25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200"/>
      <c r="S30" s="200"/>
      <c r="T30" s="200"/>
      <c r="U30" s="200"/>
      <c r="V30" s="200"/>
      <c r="W30" s="200"/>
      <c r="X30" s="200"/>
      <c r="Y30" s="200"/>
      <c r="Z30" s="212"/>
    </row>
    <row r="31" spans="1:28" ht="18" customHeight="1" x14ac:dyDescent="0.25">
      <c r="A31" s="217" t="s">
        <v>10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160"/>
      <c r="R31" s="72" t="str">
        <f>IF(SUM(R22:R29)&gt;0,SUM(R22:R29),"")</f>
        <v/>
      </c>
      <c r="S31" s="89"/>
      <c r="T31" s="89"/>
      <c r="U31" s="90"/>
      <c r="V31" s="72" t="str">
        <f>IF(SUM(V22:V29)&gt;0,SUM(V22:V29),"")</f>
        <v/>
      </c>
      <c r="W31" s="72"/>
      <c r="X31" s="72"/>
      <c r="Y31" s="72"/>
      <c r="Z31" s="212"/>
    </row>
    <row r="32" spans="1:28" ht="13.9" customHeight="1" x14ac:dyDescent="0.2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160"/>
      <c r="R32" s="213"/>
      <c r="S32" s="214"/>
      <c r="T32" s="214"/>
      <c r="U32" s="215"/>
      <c r="V32" s="72"/>
      <c r="W32" s="72"/>
      <c r="X32" s="72"/>
      <c r="Y32" s="72"/>
      <c r="Z32" s="212"/>
    </row>
    <row r="33" spans="1:26" ht="7.35" customHeight="1" x14ac:dyDescent="0.25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3.9" customHeight="1" x14ac:dyDescent="0.25">
      <c r="A34" s="218" t="s">
        <v>11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</row>
    <row r="35" spans="1:26" ht="7.35" customHeight="1" thickBo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3.9" customHeight="1" x14ac:dyDescent="0.25">
      <c r="A36" s="111"/>
      <c r="B36" s="200" t="s">
        <v>12</v>
      </c>
      <c r="C36" s="200"/>
      <c r="D36" s="200"/>
      <c r="E36" s="200"/>
      <c r="F36" s="212" t="s">
        <v>13</v>
      </c>
      <c r="G36" s="216" t="s">
        <v>14</v>
      </c>
      <c r="H36" s="216"/>
      <c r="I36" s="216"/>
      <c r="J36" s="216"/>
      <c r="K36" s="212" t="s">
        <v>13</v>
      </c>
      <c r="L36" s="79" t="str">
        <f>IF(ISNUMBER(V31),V31,"")</f>
        <v/>
      </c>
      <c r="M36" s="80"/>
      <c r="N36" s="80"/>
      <c r="O36" s="81"/>
      <c r="P36" s="202" t="s">
        <v>15</v>
      </c>
      <c r="Q36" s="203" t="s">
        <v>12</v>
      </c>
      <c r="R36" s="203"/>
      <c r="S36" s="203"/>
      <c r="T36" s="203"/>
      <c r="U36" s="204" t="s">
        <v>13</v>
      </c>
      <c r="V36" s="205" t="str">
        <f>IF(ISNUMBER(L37),L36/L37,"")</f>
        <v/>
      </c>
      <c r="W36" s="206"/>
      <c r="X36" s="206"/>
      <c r="Y36" s="207"/>
      <c r="Z36" s="211"/>
    </row>
    <row r="37" spans="1:26" ht="13.9" customHeight="1" thickBot="1" x14ac:dyDescent="0.3">
      <c r="A37" s="111"/>
      <c r="B37" s="200"/>
      <c r="C37" s="200"/>
      <c r="D37" s="200"/>
      <c r="E37" s="200"/>
      <c r="F37" s="212"/>
      <c r="G37" s="212" t="s">
        <v>16</v>
      </c>
      <c r="H37" s="212"/>
      <c r="I37" s="212"/>
      <c r="J37" s="212"/>
      <c r="K37" s="212"/>
      <c r="L37" s="213" t="str">
        <f>IF(ISNUMBER(R31),R31,"")</f>
        <v/>
      </c>
      <c r="M37" s="214"/>
      <c r="N37" s="214"/>
      <c r="O37" s="215"/>
      <c r="P37" s="203"/>
      <c r="Q37" s="203"/>
      <c r="R37" s="203"/>
      <c r="S37" s="203"/>
      <c r="T37" s="203"/>
      <c r="U37" s="204"/>
      <c r="V37" s="208"/>
      <c r="W37" s="209"/>
      <c r="X37" s="209"/>
      <c r="Y37" s="210"/>
      <c r="Z37" s="211"/>
    </row>
    <row r="38" spans="1:26" ht="13.9" customHeight="1" x14ac:dyDescent="0.25">
      <c r="A38" s="201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</row>
    <row r="39" spans="1:26" ht="13.9" customHeight="1" x14ac:dyDescent="0.25">
      <c r="A39" s="201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</row>
    <row r="40" spans="1:26" ht="13.9" customHeight="1" x14ac:dyDescent="0.25">
      <c r="A40" s="201"/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</row>
    <row r="41" spans="1:26" ht="13.9" customHeight="1" x14ac:dyDescent="0.25">
      <c r="A41" s="201"/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</row>
    <row r="42" spans="1:26" ht="13.9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3.9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3.9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</sheetData>
  <sheetProtection algorithmName="SHA-512" hashValue="kOkjKCvprxLgDOWINUNBhpHHkg/EdRN0MZ/eu1bcHO1qbGxExKGEsE2V+FQ18yofU7LU5qIuGIEsafYP7diWdQ==" saltValue="ycZ4RZS2NZiu9jfrZFK7Jw==" spinCount="100000" sheet="1" selectLockedCells="1"/>
  <mergeCells count="92">
    <mergeCell ref="A6:Z6"/>
    <mergeCell ref="A1:Z1"/>
    <mergeCell ref="A2:Z2"/>
    <mergeCell ref="A3:C3"/>
    <mergeCell ref="D3:P3"/>
    <mergeCell ref="Q3:U3"/>
    <mergeCell ref="V3:Z3"/>
    <mergeCell ref="A4:Z4"/>
    <mergeCell ref="A5:C5"/>
    <mergeCell ref="D5:P5"/>
    <mergeCell ref="Q5:U5"/>
    <mergeCell ref="V5:Z5"/>
    <mergeCell ref="V22:Y22"/>
    <mergeCell ref="A19:Z19"/>
    <mergeCell ref="A20:Z20"/>
    <mergeCell ref="A15:Z15"/>
    <mergeCell ref="A16:Z16"/>
    <mergeCell ref="A18:Z18"/>
    <mergeCell ref="B23:N23"/>
    <mergeCell ref="O23:Q23"/>
    <mergeCell ref="R23:U23"/>
    <mergeCell ref="V23:Y23"/>
    <mergeCell ref="B24:N24"/>
    <mergeCell ref="O24:Q24"/>
    <mergeCell ref="R24:U24"/>
    <mergeCell ref="V24:Y24"/>
    <mergeCell ref="B25:N25"/>
    <mergeCell ref="O25:Q25"/>
    <mergeCell ref="R25:U25"/>
    <mergeCell ref="V25:Y25"/>
    <mergeCell ref="B26:N26"/>
    <mergeCell ref="O26:Q26"/>
    <mergeCell ref="R26:U26"/>
    <mergeCell ref="V26:Y26"/>
    <mergeCell ref="B27:N27"/>
    <mergeCell ref="O27:Q27"/>
    <mergeCell ref="R27:U27"/>
    <mergeCell ref="V27:Y27"/>
    <mergeCell ref="B28:N28"/>
    <mergeCell ref="O28:Q28"/>
    <mergeCell ref="R28:U28"/>
    <mergeCell ref="V28:Y28"/>
    <mergeCell ref="A35:Z35"/>
    <mergeCell ref="B29:N29"/>
    <mergeCell ref="O29:Q29"/>
    <mergeCell ref="R29:U29"/>
    <mergeCell ref="V29:Y29"/>
    <mergeCell ref="A30:Q30"/>
    <mergeCell ref="R30:Y30"/>
    <mergeCell ref="A21:A29"/>
    <mergeCell ref="B21:N21"/>
    <mergeCell ref="O21:Q21"/>
    <mergeCell ref="R21:U21"/>
    <mergeCell ref="V21:Y21"/>
    <mergeCell ref="Z21:Z32"/>
    <mergeCell ref="B22:N22"/>
    <mergeCell ref="O22:Q22"/>
    <mergeCell ref="R22:U22"/>
    <mergeCell ref="A31:Q32"/>
    <mergeCell ref="R31:U32"/>
    <mergeCell ref="V31:Y32"/>
    <mergeCell ref="A33:Z33"/>
    <mergeCell ref="A34:Z34"/>
    <mergeCell ref="A38:Z41"/>
    <mergeCell ref="P36:P37"/>
    <mergeCell ref="Q36:T37"/>
    <mergeCell ref="U36:U37"/>
    <mergeCell ref="V36:Y37"/>
    <mergeCell ref="Z36:Z37"/>
    <mergeCell ref="G37:J37"/>
    <mergeCell ref="L37:O37"/>
    <mergeCell ref="A36:A37"/>
    <mergeCell ref="B36:E37"/>
    <mergeCell ref="F36:F37"/>
    <mergeCell ref="G36:J36"/>
    <mergeCell ref="K36:K37"/>
    <mergeCell ref="L36:O36"/>
    <mergeCell ref="A14:Z14"/>
    <mergeCell ref="C17:N17"/>
    <mergeCell ref="P17:Y17"/>
    <mergeCell ref="A7:Z7"/>
    <mergeCell ref="A8:Z8"/>
    <mergeCell ref="A9:A13"/>
    <mergeCell ref="C9:N9"/>
    <mergeCell ref="P9:Y9"/>
    <mergeCell ref="Z9:Z13"/>
    <mergeCell ref="B10:Y10"/>
    <mergeCell ref="C11:N11"/>
    <mergeCell ref="R11:Y11"/>
    <mergeCell ref="B12:Y12"/>
    <mergeCell ref="C13:N13"/>
    <mergeCell ref="P13:Y13"/>
  </mergeCells>
  <dataValidations disablePrompts="1" count="2">
    <dataValidation type="list" allowBlank="1" showInputMessage="1" showErrorMessage="1" sqref="B9 O11 O9 B13 B11" xr:uid="{00000000-0002-0000-0300-000000000000}">
      <formula1>$AA$9:$AB$9</formula1>
    </dataValidation>
    <dataValidation type="list" allowBlank="1" showInputMessage="1" showErrorMessage="1" sqref="B17 O17" xr:uid="{00000000-0002-0000-0300-000001000000}">
      <formula1>$AA$17:$AB$17</formula1>
    </dataValidation>
  </dataValidations>
  <printOptions horizontalCentered="1"/>
  <pageMargins left="1" right="1" top="0.5" bottom="0.5" header="0" footer="0"/>
  <pageSetup orientation="portrait" r:id="rId1"/>
  <headerFooter>
    <oddFooter xml:space="preserve">&amp;L4/7/2022
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2289" r:id="rId4">
          <objectPr defaultSize="0" r:id="rId5">
            <anchor moveWithCells="1">
              <from>
                <xdr:col>29</xdr:col>
                <xdr:colOff>190500</xdr:colOff>
                <xdr:row>19</xdr:row>
                <xdr:rowOff>38100</xdr:rowOff>
              </from>
              <to>
                <xdr:col>56</xdr:col>
                <xdr:colOff>47625</xdr:colOff>
                <xdr:row>39</xdr:row>
                <xdr:rowOff>123825</xdr:rowOff>
              </to>
            </anchor>
          </objectPr>
        </oleObject>
      </mc:Choice>
      <mc:Fallback>
        <oleObject progId="Word.Document.12" shapeId="12289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41"/>
  <sheetViews>
    <sheetView showGridLines="0" zoomScaleNormal="100" zoomScaleSheetLayoutView="130" zoomScalePageLayoutView="145" workbookViewId="0">
      <selection activeCell="C28" sqref="C28:F28"/>
    </sheetView>
  </sheetViews>
  <sheetFormatPr defaultColWidth="3.140625" defaultRowHeight="18" customHeight="1" x14ac:dyDescent="0.25"/>
  <cols>
    <col min="1" max="27" width="3.140625" style="2"/>
    <col min="28" max="29" width="0" style="2" hidden="1" customWidth="1"/>
    <col min="30" max="16384" width="3.140625" style="2"/>
  </cols>
  <sheetData>
    <row r="1" spans="1:27" s="5" customFormat="1" ht="18" customHeight="1" thickBot="1" x14ac:dyDescent="0.3">
      <c r="A1" s="99" t="s">
        <v>173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8"/>
    </row>
    <row r="2" spans="1:27" ht="7.35" customHeight="1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"/>
    </row>
    <row r="3" spans="1:27" ht="18" customHeight="1" x14ac:dyDescent="0.25">
      <c r="A3" s="101" t="s">
        <v>0</v>
      </c>
      <c r="B3" s="101"/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3" t="s">
        <v>1</v>
      </c>
      <c r="R3" s="103"/>
      <c r="S3" s="103"/>
      <c r="T3" s="103"/>
      <c r="U3" s="103"/>
      <c r="V3" s="104"/>
      <c r="W3" s="104"/>
      <c r="X3" s="104"/>
      <c r="Y3" s="104"/>
      <c r="Z3" s="104"/>
      <c r="AA3" s="1"/>
    </row>
    <row r="4" spans="1:27" ht="7.35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1"/>
    </row>
    <row r="5" spans="1:27" ht="18" customHeight="1" x14ac:dyDescent="0.25">
      <c r="A5" s="101" t="s">
        <v>2</v>
      </c>
      <c r="B5" s="101"/>
      <c r="C5" s="101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3" t="s">
        <v>3</v>
      </c>
      <c r="R5" s="103"/>
      <c r="S5" s="103"/>
      <c r="T5" s="103"/>
      <c r="U5" s="103"/>
      <c r="V5" s="104"/>
      <c r="W5" s="104"/>
      <c r="X5" s="104"/>
      <c r="Y5" s="104"/>
      <c r="Z5" s="104"/>
      <c r="AA5" s="1"/>
    </row>
    <row r="6" spans="1:27" ht="7.35" customHeight="1" x14ac:dyDescent="0.2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"/>
    </row>
    <row r="7" spans="1:27" ht="18" customHeight="1" x14ac:dyDescent="0.25">
      <c r="A7" s="70" t="s">
        <v>143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1"/>
    </row>
    <row r="8" spans="1:27" ht="7.35" customHeight="1" x14ac:dyDescent="0.25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1"/>
    </row>
    <row r="9" spans="1:27" ht="36" customHeight="1" x14ac:dyDescent="0.25">
      <c r="A9" s="25"/>
      <c r="B9" s="25" t="s">
        <v>48</v>
      </c>
      <c r="C9" s="97" t="s">
        <v>144</v>
      </c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25"/>
      <c r="Q9" s="25"/>
      <c r="R9" s="242"/>
      <c r="S9" s="242"/>
      <c r="T9" s="242"/>
      <c r="U9" s="25"/>
      <c r="V9" s="242"/>
      <c r="W9" s="242"/>
      <c r="X9" s="242"/>
      <c r="Y9" s="25"/>
      <c r="Z9" s="25"/>
      <c r="AA9" s="1"/>
    </row>
    <row r="10" spans="1:27" ht="36" customHeight="1" x14ac:dyDescent="0.25">
      <c r="A10" s="74"/>
      <c r="B10" s="23" t="s">
        <v>47</v>
      </c>
      <c r="C10" s="74" t="s">
        <v>111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1"/>
      <c r="Q10" s="1"/>
      <c r="R10" s="164"/>
      <c r="S10" s="165"/>
      <c r="T10" s="166"/>
      <c r="U10" s="30" t="s">
        <v>55</v>
      </c>
      <c r="V10" s="164"/>
      <c r="W10" s="165"/>
      <c r="X10" s="166"/>
      <c r="Y10" s="44"/>
      <c r="Z10" s="45"/>
      <c r="AA10" s="1"/>
    </row>
    <row r="11" spans="1:27" ht="36" customHeight="1" x14ac:dyDescent="0.25">
      <c r="A11" s="74"/>
      <c r="B11" s="23" t="s">
        <v>45</v>
      </c>
      <c r="C11" s="71" t="s">
        <v>110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1"/>
      <c r="Q11" s="1"/>
      <c r="R11" s="239"/>
      <c r="S11" s="240"/>
      <c r="T11" s="241"/>
      <c r="U11" s="30"/>
      <c r="V11" s="164"/>
      <c r="W11" s="165"/>
      <c r="X11" s="166"/>
      <c r="Y11" s="44"/>
      <c r="Z11" s="45"/>
      <c r="AA11" s="1"/>
    </row>
    <row r="12" spans="1:27" ht="36" customHeight="1" x14ac:dyDescent="0.25">
      <c r="A12" s="74"/>
      <c r="B12" s="23" t="s">
        <v>44</v>
      </c>
      <c r="C12" s="74" t="s">
        <v>113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1"/>
      <c r="Q12" s="1"/>
      <c r="R12" s="164"/>
      <c r="S12" s="165"/>
      <c r="T12" s="166"/>
      <c r="U12" s="30" t="s">
        <v>53</v>
      </c>
      <c r="V12" s="164"/>
      <c r="W12" s="165"/>
      <c r="X12" s="166"/>
      <c r="Y12" s="44"/>
      <c r="Z12" s="45"/>
      <c r="AA12" s="1"/>
    </row>
    <row r="13" spans="1:27" ht="36" customHeight="1" x14ac:dyDescent="0.25">
      <c r="A13" s="24"/>
      <c r="B13" s="23" t="s">
        <v>42</v>
      </c>
      <c r="C13" s="74" t="s">
        <v>112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1"/>
      <c r="Q13" s="1"/>
      <c r="R13" s="164"/>
      <c r="S13" s="165"/>
      <c r="T13" s="166"/>
      <c r="U13" s="30" t="s">
        <v>53</v>
      </c>
      <c r="V13" s="164"/>
      <c r="W13" s="165"/>
      <c r="X13" s="166"/>
      <c r="Y13" s="44"/>
      <c r="Z13" s="45"/>
      <c r="AA13" s="1"/>
    </row>
    <row r="14" spans="1:27" ht="36" customHeight="1" x14ac:dyDescent="0.25">
      <c r="A14" s="24"/>
      <c r="B14" s="23" t="s">
        <v>39</v>
      </c>
      <c r="C14" s="74" t="s">
        <v>114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1"/>
      <c r="Q14" s="1"/>
      <c r="R14" s="164"/>
      <c r="S14" s="165"/>
      <c r="T14" s="166"/>
      <c r="U14" s="30" t="s">
        <v>53</v>
      </c>
      <c r="V14" s="164"/>
      <c r="W14" s="165"/>
      <c r="X14" s="166"/>
      <c r="Y14" s="44"/>
      <c r="Z14" s="45"/>
      <c r="AA14" s="1"/>
    </row>
    <row r="15" spans="1:27" ht="7.35" customHeight="1" x14ac:dyDescent="0.25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1"/>
    </row>
    <row r="16" spans="1:27" ht="18" customHeight="1" x14ac:dyDescent="0.25">
      <c r="A16" s="70" t="s">
        <v>115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1"/>
    </row>
    <row r="17" spans="1:29" ht="7.35" customHeight="1" thickBot="1" x14ac:dyDescent="0.3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1"/>
    </row>
    <row r="18" spans="1:29" ht="36" customHeight="1" thickBot="1" x14ac:dyDescent="0.3">
      <c r="A18" s="24"/>
      <c r="B18" s="23" t="s">
        <v>39</v>
      </c>
      <c r="C18" s="71" t="s">
        <v>116</v>
      </c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1"/>
      <c r="Q18" s="1"/>
      <c r="R18" s="112" t="str">
        <f>IF(AND(ISNUMBER(R10),ISNUMBER(R11),ISNUMBER(R12),ISNUMBER(R13)),R11*((PI()/4)*(R10/12)^2)*SQRT(2*32.2*(R13-(R12+((R10/12)/2)))),"")</f>
        <v/>
      </c>
      <c r="S18" s="113"/>
      <c r="T18" s="114"/>
      <c r="U18" s="69" t="s">
        <v>86</v>
      </c>
      <c r="V18" s="84" t="str">
        <f>IF(AND(ISNUMBER(V10),ISNUMBER(V11),ISNUMBER(V12),ISNUMBER(V13)),V11*((PI()/4)*(V10/12)^2)*SQRT(2*32.2*(V13-(V12+((V10/12)/2)))),"")</f>
        <v/>
      </c>
      <c r="W18" s="85"/>
      <c r="X18" s="86"/>
      <c r="Y18" s="74"/>
      <c r="Z18" s="74"/>
      <c r="AA18" s="1"/>
    </row>
    <row r="19" spans="1:29" ht="36" customHeight="1" thickBot="1" x14ac:dyDescent="0.3">
      <c r="A19" s="24"/>
      <c r="B19" s="23" t="s">
        <v>37</v>
      </c>
      <c r="C19" s="71" t="s">
        <v>117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1"/>
      <c r="Q19" s="1"/>
      <c r="R19" s="112" t="str">
        <f>IFERROR(IF(R14&gt;(R12+R10/24),R11*((PI()/4)*(R10/12)^2)*SQRT(2*32.2*(R13-R14)),""),0)</f>
        <v/>
      </c>
      <c r="S19" s="113"/>
      <c r="T19" s="114"/>
      <c r="U19" s="69" t="s">
        <v>86</v>
      </c>
      <c r="V19" s="84" t="str">
        <f>IFERROR(IF(V14&gt;(V12+V10/24),V11*((PI()/4)*(V10/12)^2)*SQRT(2*32.2*(V13-V14)),""),0)</f>
        <v/>
      </c>
      <c r="W19" s="85"/>
      <c r="X19" s="86"/>
      <c r="Y19" s="74"/>
      <c r="Z19" s="74"/>
      <c r="AA19" s="1"/>
    </row>
    <row r="20" spans="1:29" ht="7.35" customHeight="1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1"/>
    </row>
    <row r="21" spans="1:29" ht="18" customHeight="1" x14ac:dyDescent="0.25">
      <c r="A21" s="70" t="s">
        <v>161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1"/>
    </row>
    <row r="22" spans="1:29" ht="7.35" customHeight="1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1"/>
    </row>
    <row r="23" spans="1:29" ht="18" customHeight="1" x14ac:dyDescent="0.25">
      <c r="A23" s="34"/>
      <c r="B23" s="33"/>
      <c r="C23" s="239" t="s">
        <v>149</v>
      </c>
      <c r="D23" s="240"/>
      <c r="E23" s="240"/>
      <c r="F23" s="241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Y23" s="34"/>
      <c r="Z23" s="34"/>
      <c r="AA23" s="8"/>
      <c r="AB23" s="2" t="s">
        <v>149</v>
      </c>
      <c r="AC23" s="2" t="s">
        <v>150</v>
      </c>
    </row>
    <row r="24" spans="1:29" ht="7.35" customHeight="1" x14ac:dyDescent="0.25">
      <c r="A24" s="34"/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5"/>
      <c r="W24" s="35"/>
      <c r="X24" s="35"/>
      <c r="Y24" s="34"/>
      <c r="Z24" s="34"/>
      <c r="AA24" s="1"/>
    </row>
    <row r="25" spans="1:29" ht="18" customHeight="1" x14ac:dyDescent="0.25">
      <c r="A25" s="70" t="s">
        <v>145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1"/>
    </row>
    <row r="26" spans="1:29" ht="7.35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1"/>
    </row>
    <row r="27" spans="1:29" ht="32.25" customHeight="1" x14ac:dyDescent="0.25">
      <c r="A27" s="48"/>
      <c r="B27" s="49"/>
      <c r="C27" s="232" t="s">
        <v>124</v>
      </c>
      <c r="D27" s="233"/>
      <c r="E27" s="233"/>
      <c r="F27" s="234"/>
      <c r="G27" s="232" t="s">
        <v>146</v>
      </c>
      <c r="H27" s="233"/>
      <c r="I27" s="233"/>
      <c r="J27" s="234"/>
      <c r="K27" s="178" t="s">
        <v>147</v>
      </c>
      <c r="L27" s="178"/>
      <c r="M27" s="178"/>
      <c r="N27" s="178"/>
      <c r="O27" s="178" t="s">
        <v>148</v>
      </c>
      <c r="P27" s="178"/>
      <c r="Q27" s="178"/>
      <c r="R27" s="178"/>
      <c r="S27" s="235"/>
      <c r="T27" s="235"/>
      <c r="U27" s="235"/>
      <c r="V27" s="235"/>
      <c r="W27" s="235"/>
      <c r="X27" s="235"/>
      <c r="Y27" s="111"/>
      <c r="Z27" s="111"/>
      <c r="AA27" s="1"/>
    </row>
    <row r="28" spans="1:29" ht="11.45" customHeight="1" x14ac:dyDescent="0.25">
      <c r="C28" s="164">
        <v>600</v>
      </c>
      <c r="D28" s="165"/>
      <c r="E28" s="165"/>
      <c r="F28" s="166"/>
      <c r="G28" s="231" t="str">
        <f>IF($R$18="","",IF($C$23=$AB$23,
IF(AND(ISNUMBER($R$18),ISNUMBER(C28)),$R$11*((PI()/4)*($R$10/12)^2)*SQRT(2*32.2*IF((C28-($R$12+(($R$10/12)/2)))&gt;0,(C28-($R$12+(($R$10/12)/2))),0)),""),
IF($C$23=$AC$23,
IF(ISNUMBER(C28),$R$11*((PI()/4)*($R$10/12)^2)*SQRT(2*32.2*IF((($R$12+(($R$10/12)/2))-$R$14)&gt;0,IF((C28-($R$12+(($R$10/12)/2)))&lt;0,0,(C28-($R$12+(($R$10/12)/2)))),IF((C28-$R$14)&lt;0,0,(C28-$R$14)))),""),
"Something is Wrong")))</f>
        <v/>
      </c>
      <c r="H28" s="231"/>
      <c r="I28" s="231"/>
      <c r="J28" s="231"/>
      <c r="K28" s="231" t="str">
        <f>IF($V$18="","",IF($C$23=$AB$23,
IF(AND(ISNUMBER($V$18),ISNUMBER(C28)),$V$11*((PI()/4)*($V$10/12)^2)*SQRT(2*32.2*IF((C28-($V$12+(($V$10/12)/2)))&gt;0,(C28-($V$12+(($V$10/12)/2))),0)),""),
IF($C$23=$AC$23,
IF(ISNUMBER(C28),$V$11*((PI()/4)*($V$10/12)^2)*SQRT(2*32.2*IF((($V$12+(($V$10/12)/2))-$V$14)&gt;0,IF((C28-($V$12+(($V$10/12)/2)))&lt;0,0,(C28-($V$12+(($V$10/12)/2)))),IF((C28-$V$14)&lt;0,0,(C28-$V$14)))),""),
"Something is Wrong")))</f>
        <v/>
      </c>
      <c r="L28" s="231"/>
      <c r="M28" s="231"/>
      <c r="N28" s="231"/>
      <c r="O28" s="231" t="str">
        <f>IF(OR(ISNUMBER(G28),ISNUMBER(K28)),SUM(G28:K28),"")</f>
        <v/>
      </c>
      <c r="P28" s="231"/>
      <c r="Q28" s="231"/>
      <c r="R28" s="231"/>
      <c r="S28" s="51" t="str">
        <f>IF(C28="","",IF(AND(C28=R$13,C28=V$13),"HWL",IF(AND(C28=R$13,""=V$13),"HWL",IF(AND(""=R$13,C28=V$13),"HWL",IF(C28=R$13,"HWL "&amp;R$9,IF(C28=V$13,"HWL "&amp;V$9,""))))))</f>
        <v/>
      </c>
      <c r="T28" s="50"/>
      <c r="U28" s="50"/>
      <c r="V28" s="50"/>
      <c r="W28" s="50"/>
      <c r="X28" s="50"/>
      <c r="Y28" s="8"/>
      <c r="Z28" s="111"/>
      <c r="AA28" s="1"/>
    </row>
    <row r="29" spans="1:29" ht="11.45" customHeight="1" x14ac:dyDescent="0.25">
      <c r="C29" s="164">
        <v>601</v>
      </c>
      <c r="D29" s="165"/>
      <c r="E29" s="165"/>
      <c r="F29" s="166"/>
      <c r="G29" s="231" t="str">
        <f t="shared" ref="G29:G40" si="0">IF($R$18="","",IF($C$23=$AB$23,
IF(AND(ISNUMBER($R$18),ISNUMBER(C29)),$R$11*((PI()/4)*($R$10/12)^2)*SQRT(2*32.2*IF((C29-($R$12+(($R$10/12)/2)))&gt;0,(C29-($R$12+(($R$10/12)/2))),0)),""),
IF($C$23=$AC$23,
IF(ISNUMBER(C29),$R$11*((PI()/4)*($R$10/12)^2)*SQRT(2*32.2*IF((($R$12+(($R$10/12)/2))-$R$14)&gt;0,IF((C29-($R$12+(($R$10/12)/2)))&lt;0,0,(C29-($R$12+(($R$10/12)/2)))),IF((C29-$R$14)&lt;0,0,(C29-$R$14)))),""),
"Something is Wrong")))</f>
        <v/>
      </c>
      <c r="H29" s="231"/>
      <c r="I29" s="231"/>
      <c r="J29" s="231"/>
      <c r="K29" s="231" t="str">
        <f t="shared" ref="K29:K40" si="1">IF($V$18="","",IF($C$23=$AB$23,
IF(AND(ISNUMBER($V$18),ISNUMBER(C29)),$V$11*((PI()/4)*($V$10/12)^2)*SQRT(2*32.2*IF((C29-($V$12+(($V$10/12)/2)))&gt;0,(C29-($V$12+(($V$10/12)/2))),0)),""),
IF($C$23=$AC$23,
IF(ISNUMBER(C29),$V$11*((PI()/4)*($V$10/12)^2)*SQRT(2*32.2*IF((($V$12+(($V$10/12)/2))-$V$14)&gt;0,IF((C29-($V$12+(($V$10/12)/2)))&lt;0,0,(C29-($V$12+(($V$10/12)/2)))),IF((C29-$V$14)&lt;0,0,(C29-$V$14)))),""),
"Something is Wrong")))</f>
        <v/>
      </c>
      <c r="L29" s="231"/>
      <c r="M29" s="231"/>
      <c r="N29" s="231"/>
      <c r="O29" s="231" t="str">
        <f t="shared" ref="O29:O40" si="2">IF(OR(ISNUMBER(G29),ISNUMBER(K29)),SUM(G29:K29),"")</f>
        <v/>
      </c>
      <c r="P29" s="231"/>
      <c r="Q29" s="231"/>
      <c r="R29" s="231"/>
      <c r="S29" s="51" t="str">
        <f t="shared" ref="S29:S40" si="3">IF(C29="","",IF(AND(C29=R$13,C29=V$13),"HWL",IF(AND(C29=R$13,""=V$13),"HWL",IF(AND(""=R$13,C29=V$13),"HWL",IF(C29=R$13,"HWL "&amp;R$9,IF(C29=V$13,"HWL "&amp;V$9,""))))))</f>
        <v/>
      </c>
      <c r="T29" s="50"/>
      <c r="U29" s="50"/>
      <c r="V29" s="50"/>
      <c r="W29" s="50"/>
      <c r="X29" s="50"/>
      <c r="Y29" s="8"/>
      <c r="Z29" s="111"/>
      <c r="AA29" s="1"/>
    </row>
    <row r="30" spans="1:29" ht="11.45" customHeight="1" x14ac:dyDescent="0.25">
      <c r="C30" s="164">
        <v>602</v>
      </c>
      <c r="D30" s="165"/>
      <c r="E30" s="165"/>
      <c r="F30" s="166"/>
      <c r="G30" s="231" t="str">
        <f t="shared" si="0"/>
        <v/>
      </c>
      <c r="H30" s="231"/>
      <c r="I30" s="231"/>
      <c r="J30" s="231"/>
      <c r="K30" s="231" t="str">
        <f t="shared" si="1"/>
        <v/>
      </c>
      <c r="L30" s="231"/>
      <c r="M30" s="231"/>
      <c r="N30" s="231"/>
      <c r="O30" s="231" t="str">
        <f t="shared" si="2"/>
        <v/>
      </c>
      <c r="P30" s="231"/>
      <c r="Q30" s="231"/>
      <c r="R30" s="231"/>
      <c r="S30" s="51" t="str">
        <f t="shared" si="3"/>
        <v/>
      </c>
      <c r="T30" s="50"/>
      <c r="U30" s="50"/>
      <c r="V30" s="50"/>
      <c r="W30" s="50"/>
      <c r="X30" s="50"/>
      <c r="Y30" s="8"/>
      <c r="Z30" s="111"/>
      <c r="AA30" s="1"/>
    </row>
    <row r="31" spans="1:29" ht="11.45" customHeight="1" x14ac:dyDescent="0.25">
      <c r="C31" s="164">
        <v>603</v>
      </c>
      <c r="D31" s="165"/>
      <c r="E31" s="165"/>
      <c r="F31" s="166"/>
      <c r="G31" s="231" t="str">
        <f t="shared" si="0"/>
        <v/>
      </c>
      <c r="H31" s="231"/>
      <c r="I31" s="231"/>
      <c r="J31" s="231"/>
      <c r="K31" s="231" t="str">
        <f t="shared" si="1"/>
        <v/>
      </c>
      <c r="L31" s="231"/>
      <c r="M31" s="231"/>
      <c r="N31" s="231"/>
      <c r="O31" s="231" t="str">
        <f t="shared" si="2"/>
        <v/>
      </c>
      <c r="P31" s="231"/>
      <c r="Q31" s="231"/>
      <c r="R31" s="231"/>
      <c r="S31" s="51" t="str">
        <f t="shared" si="3"/>
        <v/>
      </c>
      <c r="T31" s="50"/>
      <c r="U31" s="50"/>
      <c r="V31" s="50"/>
      <c r="W31" s="50"/>
      <c r="X31" s="50"/>
      <c r="Y31" s="8"/>
      <c r="Z31" s="111"/>
      <c r="AA31" s="1"/>
    </row>
    <row r="32" spans="1:29" ht="11.45" customHeight="1" x14ac:dyDescent="0.25">
      <c r="C32" s="164">
        <v>604</v>
      </c>
      <c r="D32" s="165"/>
      <c r="E32" s="165"/>
      <c r="F32" s="166"/>
      <c r="G32" s="231" t="str">
        <f t="shared" si="0"/>
        <v/>
      </c>
      <c r="H32" s="231"/>
      <c r="I32" s="231"/>
      <c r="J32" s="231"/>
      <c r="K32" s="231" t="str">
        <f t="shared" si="1"/>
        <v/>
      </c>
      <c r="L32" s="231"/>
      <c r="M32" s="231"/>
      <c r="N32" s="231"/>
      <c r="O32" s="231" t="str">
        <f t="shared" si="2"/>
        <v/>
      </c>
      <c r="P32" s="231"/>
      <c r="Q32" s="231"/>
      <c r="R32" s="231"/>
      <c r="S32" s="51" t="str">
        <f t="shared" si="3"/>
        <v/>
      </c>
      <c r="T32" s="50"/>
      <c r="U32" s="50"/>
      <c r="V32" s="50"/>
      <c r="W32" s="50"/>
      <c r="X32" s="50"/>
      <c r="Y32" s="8"/>
      <c r="Z32" s="111"/>
      <c r="AA32" s="1"/>
    </row>
    <row r="33" spans="1:27" ht="11.45" customHeight="1" x14ac:dyDescent="0.25">
      <c r="C33" s="164">
        <v>605</v>
      </c>
      <c r="D33" s="165"/>
      <c r="E33" s="165"/>
      <c r="F33" s="166"/>
      <c r="G33" s="231" t="str">
        <f t="shared" si="0"/>
        <v/>
      </c>
      <c r="H33" s="231"/>
      <c r="I33" s="231"/>
      <c r="J33" s="231"/>
      <c r="K33" s="231" t="str">
        <f t="shared" si="1"/>
        <v/>
      </c>
      <c r="L33" s="231"/>
      <c r="M33" s="231"/>
      <c r="N33" s="231"/>
      <c r="O33" s="231" t="str">
        <f t="shared" si="2"/>
        <v/>
      </c>
      <c r="P33" s="231"/>
      <c r="Q33" s="231"/>
      <c r="R33" s="231"/>
      <c r="S33" s="51" t="str">
        <f t="shared" si="3"/>
        <v/>
      </c>
      <c r="T33" s="50"/>
      <c r="U33" s="50"/>
      <c r="V33" s="50"/>
      <c r="W33" s="50"/>
      <c r="X33" s="50"/>
      <c r="Y33" s="8"/>
      <c r="Z33" s="111"/>
      <c r="AA33" s="1"/>
    </row>
    <row r="34" spans="1:27" ht="11.45" customHeight="1" x14ac:dyDescent="0.25">
      <c r="C34" s="164">
        <v>606</v>
      </c>
      <c r="D34" s="165"/>
      <c r="E34" s="165"/>
      <c r="F34" s="166"/>
      <c r="G34" s="231" t="str">
        <f t="shared" si="0"/>
        <v/>
      </c>
      <c r="H34" s="231"/>
      <c r="I34" s="231"/>
      <c r="J34" s="231"/>
      <c r="K34" s="231" t="str">
        <f t="shared" si="1"/>
        <v/>
      </c>
      <c r="L34" s="231"/>
      <c r="M34" s="231"/>
      <c r="N34" s="231"/>
      <c r="O34" s="231" t="str">
        <f t="shared" si="2"/>
        <v/>
      </c>
      <c r="P34" s="231"/>
      <c r="Q34" s="231"/>
      <c r="R34" s="231"/>
      <c r="S34" s="51" t="str">
        <f t="shared" si="3"/>
        <v/>
      </c>
      <c r="T34" s="50"/>
      <c r="U34" s="50"/>
      <c r="V34" s="50"/>
      <c r="W34" s="50"/>
      <c r="X34" s="50"/>
      <c r="Y34" s="8"/>
      <c r="Z34" s="111"/>
      <c r="AA34" s="1"/>
    </row>
    <row r="35" spans="1:27" ht="11.45" customHeight="1" x14ac:dyDescent="0.25">
      <c r="C35" s="164">
        <v>607</v>
      </c>
      <c r="D35" s="165"/>
      <c r="E35" s="165"/>
      <c r="F35" s="166"/>
      <c r="G35" s="231" t="str">
        <f t="shared" si="0"/>
        <v/>
      </c>
      <c r="H35" s="231"/>
      <c r="I35" s="231"/>
      <c r="J35" s="231"/>
      <c r="K35" s="231" t="str">
        <f t="shared" si="1"/>
        <v/>
      </c>
      <c r="L35" s="231"/>
      <c r="M35" s="231"/>
      <c r="N35" s="231"/>
      <c r="O35" s="231" t="str">
        <f t="shared" si="2"/>
        <v/>
      </c>
      <c r="P35" s="231"/>
      <c r="Q35" s="231"/>
      <c r="R35" s="231"/>
      <c r="S35" s="51" t="str">
        <f t="shared" si="3"/>
        <v/>
      </c>
      <c r="T35" s="50"/>
      <c r="U35" s="50"/>
      <c r="V35" s="50"/>
      <c r="W35" s="50"/>
      <c r="X35" s="50"/>
      <c r="Y35" s="8"/>
      <c r="Z35" s="111"/>
      <c r="AA35" s="1"/>
    </row>
    <row r="36" spans="1:27" ht="11.45" customHeight="1" x14ac:dyDescent="0.25">
      <c r="C36" s="164">
        <v>608</v>
      </c>
      <c r="D36" s="165"/>
      <c r="E36" s="165"/>
      <c r="F36" s="166"/>
      <c r="G36" s="231" t="str">
        <f t="shared" si="0"/>
        <v/>
      </c>
      <c r="H36" s="231"/>
      <c r="I36" s="231"/>
      <c r="J36" s="231"/>
      <c r="K36" s="231" t="str">
        <f t="shared" si="1"/>
        <v/>
      </c>
      <c r="L36" s="231"/>
      <c r="M36" s="231"/>
      <c r="N36" s="231"/>
      <c r="O36" s="231" t="str">
        <f t="shared" si="2"/>
        <v/>
      </c>
      <c r="P36" s="231"/>
      <c r="Q36" s="231"/>
      <c r="R36" s="231"/>
      <c r="S36" s="51" t="str">
        <f t="shared" si="3"/>
        <v/>
      </c>
      <c r="T36" s="50"/>
      <c r="U36" s="50"/>
      <c r="V36" s="50"/>
      <c r="W36" s="50"/>
      <c r="X36" s="50"/>
      <c r="Y36" s="8"/>
      <c r="Z36" s="111"/>
      <c r="AA36" s="1"/>
    </row>
    <row r="37" spans="1:27" ht="11.45" customHeight="1" x14ac:dyDescent="0.25">
      <c r="C37" s="164">
        <v>609</v>
      </c>
      <c r="D37" s="165"/>
      <c r="E37" s="165"/>
      <c r="F37" s="166"/>
      <c r="G37" s="231" t="str">
        <f t="shared" si="0"/>
        <v/>
      </c>
      <c r="H37" s="231"/>
      <c r="I37" s="231"/>
      <c r="J37" s="231"/>
      <c r="K37" s="231" t="str">
        <f t="shared" si="1"/>
        <v/>
      </c>
      <c r="L37" s="231"/>
      <c r="M37" s="231"/>
      <c r="N37" s="231"/>
      <c r="O37" s="231" t="str">
        <f t="shared" si="2"/>
        <v/>
      </c>
      <c r="P37" s="231"/>
      <c r="Q37" s="231"/>
      <c r="R37" s="231"/>
      <c r="S37" s="51" t="str">
        <f t="shared" si="3"/>
        <v/>
      </c>
      <c r="T37" s="50"/>
      <c r="U37" s="50"/>
      <c r="V37" s="50"/>
      <c r="W37" s="50"/>
      <c r="X37" s="50"/>
      <c r="Y37" s="8"/>
      <c r="Z37" s="111"/>
    </row>
    <row r="38" spans="1:27" ht="11.45" customHeight="1" x14ac:dyDescent="0.25">
      <c r="C38" s="164">
        <v>610</v>
      </c>
      <c r="D38" s="165"/>
      <c r="E38" s="165"/>
      <c r="F38" s="166"/>
      <c r="G38" s="231" t="str">
        <f t="shared" si="0"/>
        <v/>
      </c>
      <c r="H38" s="231"/>
      <c r="I38" s="231"/>
      <c r="J38" s="231"/>
      <c r="K38" s="231" t="str">
        <f t="shared" si="1"/>
        <v/>
      </c>
      <c r="L38" s="231"/>
      <c r="M38" s="231"/>
      <c r="N38" s="231"/>
      <c r="O38" s="231" t="str">
        <f t="shared" si="2"/>
        <v/>
      </c>
      <c r="P38" s="231"/>
      <c r="Q38" s="231"/>
      <c r="R38" s="231"/>
      <c r="S38" s="51" t="str">
        <f t="shared" si="3"/>
        <v/>
      </c>
      <c r="T38" s="50"/>
      <c r="U38" s="50"/>
      <c r="V38" s="50"/>
      <c r="W38" s="50"/>
      <c r="X38" s="50"/>
      <c r="Y38" s="8"/>
      <c r="Z38" s="111"/>
    </row>
    <row r="39" spans="1:27" ht="11.45" customHeight="1" x14ac:dyDescent="0.25">
      <c r="C39" s="164">
        <v>611</v>
      </c>
      <c r="D39" s="165"/>
      <c r="E39" s="165"/>
      <c r="F39" s="166"/>
      <c r="G39" s="231" t="str">
        <f t="shared" si="0"/>
        <v/>
      </c>
      <c r="H39" s="231"/>
      <c r="I39" s="231"/>
      <c r="J39" s="231"/>
      <c r="K39" s="231" t="str">
        <f t="shared" si="1"/>
        <v/>
      </c>
      <c r="L39" s="231"/>
      <c r="M39" s="231"/>
      <c r="N39" s="231"/>
      <c r="O39" s="231" t="str">
        <f t="shared" si="2"/>
        <v/>
      </c>
      <c r="P39" s="231"/>
      <c r="Q39" s="231"/>
      <c r="R39" s="231"/>
      <c r="S39" s="51" t="str">
        <f t="shared" si="3"/>
        <v/>
      </c>
      <c r="T39" s="29"/>
      <c r="U39" s="29"/>
      <c r="V39" s="29"/>
      <c r="W39" s="29"/>
      <c r="X39" s="29"/>
      <c r="Y39" s="8"/>
      <c r="Z39" s="111"/>
    </row>
    <row r="40" spans="1:27" ht="11.45" customHeight="1" x14ac:dyDescent="0.25">
      <c r="C40" s="164">
        <v>612</v>
      </c>
      <c r="D40" s="165"/>
      <c r="E40" s="165"/>
      <c r="F40" s="166"/>
      <c r="G40" s="236" t="str">
        <f t="shared" si="0"/>
        <v/>
      </c>
      <c r="H40" s="237"/>
      <c r="I40" s="237"/>
      <c r="J40" s="238"/>
      <c r="K40" s="236" t="str">
        <f t="shared" si="1"/>
        <v/>
      </c>
      <c r="L40" s="237"/>
      <c r="M40" s="237"/>
      <c r="N40" s="238"/>
      <c r="O40" s="236" t="str">
        <f t="shared" si="2"/>
        <v/>
      </c>
      <c r="P40" s="237"/>
      <c r="Q40" s="237"/>
      <c r="R40" s="238"/>
      <c r="S40" s="51" t="str">
        <f t="shared" si="3"/>
        <v/>
      </c>
      <c r="T40" s="29"/>
      <c r="U40" s="29"/>
      <c r="V40" s="29"/>
      <c r="W40" s="29"/>
      <c r="X40" s="29"/>
      <c r="Y40" s="8"/>
      <c r="Z40" s="111"/>
    </row>
    <row r="41" spans="1:27" ht="11.45" customHeight="1" x14ac:dyDescent="0.25">
      <c r="A41" s="48"/>
      <c r="B41" s="48"/>
      <c r="C41" s="31"/>
      <c r="D41" s="31"/>
      <c r="E41" s="31"/>
      <c r="F41" s="31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51"/>
      <c r="T41" s="29"/>
      <c r="U41" s="29"/>
      <c r="V41" s="29"/>
      <c r="W41" s="29"/>
      <c r="X41" s="29"/>
      <c r="Y41" s="8"/>
      <c r="Z41" s="111"/>
    </row>
  </sheetData>
  <sheetProtection algorithmName="SHA-512" hashValue="cNEFo2MUHl3ZgeMp6FFCa2XjEzdHlVkqzj8xLBnP4O3wwDRlVpe2Lg427gBugwwVQCoTEVCPFjlxvqIRB6gJ1g==" saltValue="FlVptGoQbfQPVeAn2wDZ2g==" spinCount="100000" sheet="1" selectLockedCells="1"/>
  <mergeCells count="108">
    <mergeCell ref="R12:T12"/>
    <mergeCell ref="V12:X12"/>
    <mergeCell ref="A22:Z22"/>
    <mergeCell ref="C23:F23"/>
    <mergeCell ref="A4:Z4"/>
    <mergeCell ref="A5:C5"/>
    <mergeCell ref="D5:P5"/>
    <mergeCell ref="Q5:U5"/>
    <mergeCell ref="V5:Z5"/>
    <mergeCell ref="A6:Z6"/>
    <mergeCell ref="A15:Z15"/>
    <mergeCell ref="R13:T13"/>
    <mergeCell ref="V13:X13"/>
    <mergeCell ref="A16:Z16"/>
    <mergeCell ref="A17:Z17"/>
    <mergeCell ref="C18:O18"/>
    <mergeCell ref="Y18:Z18"/>
    <mergeCell ref="R18:T18"/>
    <mergeCell ref="V18:X18"/>
    <mergeCell ref="R14:T14"/>
    <mergeCell ref="V14:X14"/>
    <mergeCell ref="A20:Z20"/>
    <mergeCell ref="C13:O13"/>
    <mergeCell ref="C14:O14"/>
    <mergeCell ref="S27:X27"/>
    <mergeCell ref="O40:R40"/>
    <mergeCell ref="O39:R39"/>
    <mergeCell ref="G40:J40"/>
    <mergeCell ref="K40:N40"/>
    <mergeCell ref="A1:Z1"/>
    <mergeCell ref="A2:Z2"/>
    <mergeCell ref="A3:C3"/>
    <mergeCell ref="D3:P3"/>
    <mergeCell ref="Q3:U3"/>
    <mergeCell ref="V3:Z3"/>
    <mergeCell ref="C12:O12"/>
    <mergeCell ref="R11:T11"/>
    <mergeCell ref="V11:X11"/>
    <mergeCell ref="A7:Z7"/>
    <mergeCell ref="A8:Z8"/>
    <mergeCell ref="A10:A12"/>
    <mergeCell ref="C10:O10"/>
    <mergeCell ref="C11:O11"/>
    <mergeCell ref="R10:T10"/>
    <mergeCell ref="V10:X10"/>
    <mergeCell ref="C9:O9"/>
    <mergeCell ref="V9:X9"/>
    <mergeCell ref="R9:T9"/>
    <mergeCell ref="A25:Z25"/>
    <mergeCell ref="C19:O19"/>
    <mergeCell ref="R19:T19"/>
    <mergeCell ref="C27:F27"/>
    <mergeCell ref="G27:J27"/>
    <mergeCell ref="K27:N27"/>
    <mergeCell ref="O27:R27"/>
    <mergeCell ref="A21:Z21"/>
    <mergeCell ref="C35:F35"/>
    <mergeCell ref="C34:F34"/>
    <mergeCell ref="G33:J33"/>
    <mergeCell ref="K33:N33"/>
    <mergeCell ref="O33:R33"/>
    <mergeCell ref="O30:R30"/>
    <mergeCell ref="C31:F31"/>
    <mergeCell ref="C30:F30"/>
    <mergeCell ref="Y19:Z19"/>
    <mergeCell ref="V19:X19"/>
    <mergeCell ref="Y27:Z27"/>
    <mergeCell ref="Z28:Z41"/>
    <mergeCell ref="G29:J29"/>
    <mergeCell ref="K29:N29"/>
    <mergeCell ref="O29:R29"/>
    <mergeCell ref="G30:J30"/>
    <mergeCell ref="C36:F36"/>
    <mergeCell ref="G35:J35"/>
    <mergeCell ref="K35:N35"/>
    <mergeCell ref="C28:F28"/>
    <mergeCell ref="G34:J34"/>
    <mergeCell ref="K34:N34"/>
    <mergeCell ref="O34:R34"/>
    <mergeCell ref="C29:F29"/>
    <mergeCell ref="G36:J36"/>
    <mergeCell ref="C33:F33"/>
    <mergeCell ref="C32:F32"/>
    <mergeCell ref="O36:R36"/>
    <mergeCell ref="K30:N30"/>
    <mergeCell ref="K36:N36"/>
    <mergeCell ref="G28:J28"/>
    <mergeCell ref="K28:N28"/>
    <mergeCell ref="G32:J32"/>
    <mergeCell ref="K32:N32"/>
    <mergeCell ref="O32:R32"/>
    <mergeCell ref="O28:R28"/>
    <mergeCell ref="O35:R35"/>
    <mergeCell ref="G31:J31"/>
    <mergeCell ref="K31:N31"/>
    <mergeCell ref="O31:R31"/>
    <mergeCell ref="C40:F40"/>
    <mergeCell ref="G39:J39"/>
    <mergeCell ref="K39:N39"/>
    <mergeCell ref="G38:J38"/>
    <mergeCell ref="K38:N38"/>
    <mergeCell ref="O38:R38"/>
    <mergeCell ref="C38:F38"/>
    <mergeCell ref="C39:F39"/>
    <mergeCell ref="G37:J37"/>
    <mergeCell ref="K37:N37"/>
    <mergeCell ref="O37:R37"/>
    <mergeCell ref="C37:F37"/>
  </mergeCells>
  <dataValidations disablePrompts="1" count="1">
    <dataValidation type="list" allowBlank="1" showInputMessage="1" showErrorMessage="1" sqref="V24 C23" xr:uid="{00000000-0002-0000-0C00-000000000000}">
      <formula1>$AB$23:$AC$23</formula1>
    </dataValidation>
  </dataValidations>
  <printOptions horizontalCentered="1"/>
  <pageMargins left="1" right="1" top="0.5" bottom="0.5" header="0" footer="0"/>
  <pageSetup orientation="portrait" r:id="rId1"/>
  <headerFooter>
    <oddFooter xml:space="preserve">&amp;L4/7/2022
</oddFooter>
    <firstFooter xml:space="preserve">&amp;L&amp;10 10/7/2019
</firstFooter>
  </headerFooter>
  <ignoredErrors>
    <ignoredError sqref="A15:Z18 A9:Q9 Y9:Z9 A10:Q13 U13 U9 U10 Y10:Z10 U11 Y11:Z11 U12 Y12:Z12 Y13:Z13 A14:Q14 U14 Y14:Z14 A19:Q19 S19:U19 W19:Z19" numberStoredAsText="1"/>
    <ignoredError sqref="G30:R40 G28:R28 G29:R29 D40:F40 D32:F32 D33:F33 D34:F34 D35:F35 D36:F36 D37:F37 D38:F38 D39:F39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12" shapeId="13313" r:id="rId4">
          <objectPr defaultSize="0" r:id="rId5">
            <anchor moveWithCells="1">
              <from>
                <xdr:col>30</xdr:col>
                <xdr:colOff>104775</xdr:colOff>
                <xdr:row>5</xdr:row>
                <xdr:rowOff>47625</xdr:rowOff>
              </from>
              <to>
                <xdr:col>56</xdr:col>
                <xdr:colOff>171450</xdr:colOff>
                <xdr:row>17</xdr:row>
                <xdr:rowOff>85725</xdr:rowOff>
              </to>
            </anchor>
          </objectPr>
        </oleObject>
      </mc:Choice>
      <mc:Fallback>
        <oleObject progId="Word.Document.12" shapeId="13313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51"/>
  <sheetViews>
    <sheetView showGridLines="0" zoomScaleNormal="100" zoomScaleSheetLayoutView="130" zoomScalePageLayoutView="130" workbookViewId="0">
      <selection activeCell="D3" sqref="D3:P3"/>
    </sheetView>
  </sheetViews>
  <sheetFormatPr defaultColWidth="3.140625" defaultRowHeight="18" customHeight="1" x14ac:dyDescent="0.25"/>
  <cols>
    <col min="1" max="26" width="3.140625" style="2" customWidth="1"/>
    <col min="27" max="36" width="3.140625" style="2" hidden="1" customWidth="1"/>
    <col min="37" max="16384" width="3.140625" style="2"/>
  </cols>
  <sheetData>
    <row r="1" spans="1:27" ht="18" customHeight="1" thickBot="1" x14ac:dyDescent="0.3">
      <c r="A1" s="99" t="s">
        <v>183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1"/>
    </row>
    <row r="2" spans="1:27" ht="7.35" customHeight="1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"/>
    </row>
    <row r="3" spans="1:27" ht="18" customHeight="1" x14ac:dyDescent="0.25">
      <c r="A3" s="101" t="s">
        <v>0</v>
      </c>
      <c r="B3" s="101"/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3" t="s">
        <v>1</v>
      </c>
      <c r="R3" s="103"/>
      <c r="S3" s="103"/>
      <c r="T3" s="103"/>
      <c r="U3" s="103"/>
      <c r="V3" s="104"/>
      <c r="W3" s="104"/>
      <c r="X3" s="104"/>
      <c r="Y3" s="104"/>
      <c r="Z3" s="104"/>
      <c r="AA3" s="1"/>
    </row>
    <row r="4" spans="1:27" ht="7.35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1"/>
    </row>
    <row r="5" spans="1:27" ht="18" customHeight="1" x14ac:dyDescent="0.25">
      <c r="A5" s="101" t="s">
        <v>2</v>
      </c>
      <c r="B5" s="101"/>
      <c r="C5" s="101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3" t="s">
        <v>3</v>
      </c>
      <c r="R5" s="103"/>
      <c r="S5" s="103"/>
      <c r="T5" s="103"/>
      <c r="U5" s="103"/>
      <c r="V5" s="108"/>
      <c r="W5" s="104"/>
      <c r="X5" s="104"/>
      <c r="Y5" s="104"/>
      <c r="Z5" s="104"/>
      <c r="AA5" s="1"/>
    </row>
    <row r="6" spans="1:27" ht="7.35" customHeight="1" x14ac:dyDescent="0.25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"/>
    </row>
    <row r="7" spans="1:27" ht="18" customHeight="1" x14ac:dyDescent="0.25">
      <c r="A7" s="70" t="s">
        <v>168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1"/>
    </row>
    <row r="8" spans="1:27" ht="7.35" customHeight="1" x14ac:dyDescent="0.25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1"/>
    </row>
    <row r="9" spans="1:27" ht="36" customHeight="1" x14ac:dyDescent="0.25">
      <c r="A9" s="74"/>
      <c r="B9" s="26" t="s">
        <v>48</v>
      </c>
      <c r="C9" s="74" t="s">
        <v>151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243"/>
      <c r="Q9" s="243"/>
      <c r="R9" s="248"/>
      <c r="S9" s="75"/>
      <c r="T9" s="75"/>
      <c r="U9" s="75"/>
      <c r="V9" s="75"/>
      <c r="W9" s="75"/>
      <c r="X9" s="75"/>
      <c r="Y9" s="73" t="s">
        <v>46</v>
      </c>
      <c r="Z9" s="74"/>
      <c r="AA9" s="1"/>
    </row>
    <row r="10" spans="1:27" ht="36" customHeight="1" x14ac:dyDescent="0.25">
      <c r="A10" s="74"/>
      <c r="B10" s="26" t="s">
        <v>47</v>
      </c>
      <c r="C10" s="71" t="s">
        <v>152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243"/>
      <c r="Q10" s="243"/>
      <c r="R10" s="248"/>
      <c r="S10" s="83"/>
      <c r="T10" s="83"/>
      <c r="U10" s="83"/>
      <c r="V10" s="83"/>
      <c r="W10" s="83"/>
      <c r="X10" s="83"/>
      <c r="Y10" s="73"/>
      <c r="Z10" s="74"/>
      <c r="AA10" s="1"/>
    </row>
    <row r="11" spans="1:27" ht="36" customHeight="1" x14ac:dyDescent="0.25">
      <c r="A11" s="74"/>
      <c r="B11" s="26" t="s">
        <v>45</v>
      </c>
      <c r="C11" s="74" t="s">
        <v>153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243"/>
      <c r="Q11" s="243"/>
      <c r="R11" s="248"/>
      <c r="S11" s="249"/>
      <c r="T11" s="250"/>
      <c r="U11" s="250"/>
      <c r="V11" s="250"/>
      <c r="W11" s="250"/>
      <c r="X11" s="251"/>
      <c r="Y11" s="73" t="s">
        <v>86</v>
      </c>
      <c r="Z11" s="74"/>
      <c r="AA11" s="1"/>
    </row>
    <row r="12" spans="1:27" ht="7.35" customHeight="1" x14ac:dyDescent="0.25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1"/>
    </row>
    <row r="13" spans="1:27" ht="18" customHeight="1" x14ac:dyDescent="0.25">
      <c r="A13" s="70" t="s">
        <v>87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1"/>
    </row>
    <row r="14" spans="1:27" ht="7.35" customHeight="1" thickBot="1" x14ac:dyDescent="0.3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1"/>
    </row>
    <row r="15" spans="1:27" ht="36" customHeight="1" thickBot="1" x14ac:dyDescent="0.3">
      <c r="A15" s="27"/>
      <c r="B15" s="26" t="s">
        <v>44</v>
      </c>
      <c r="C15" s="71" t="s">
        <v>155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243"/>
      <c r="Q15" s="243"/>
      <c r="R15" s="244"/>
      <c r="S15" s="245" t="str">
        <f>IFERROR(IF(S11="","",IF(OR(S10&lt;50,S10&gt;99),"CN Out of Range",IF((S11/S9)&gt;0.3,"Release too high",S9*IF(S11/S9=0.3,AD29,IF(S11/S9&gt;=0.25,AD30+(AD29-AD30)*((0.3-S11/S9)/(0.05)),IF(S11/S9&gt;=0.2,AD30+(AD29-AD30)*((0.25-S11/S9)/(0.05)),IF(S11/S9&gt;=0.15,AD30+(AD29-AD30)*((0.2-S11/S9)/(0.05)),IF(S11/S9&gt;=0.1,AD30+(AD29-AD30)*((0.15-S11/S9)/(0.05)),IF(S11/S9&gt;=0.05,AD30+(AD29-AD30)*((0.1-S11/S9)/(0.05)),IF(S11/S9&gt;=0,AD30+(AD29-AD30)*((0.05-S11/S9-0)/(0.05)))))))))))),"")</f>
        <v/>
      </c>
      <c r="T15" s="246"/>
      <c r="U15" s="246"/>
      <c r="V15" s="246"/>
      <c r="W15" s="246"/>
      <c r="X15" s="247"/>
      <c r="Y15" s="87" t="s">
        <v>27</v>
      </c>
      <c r="Z15" s="74"/>
      <c r="AA15" s="1"/>
    </row>
    <row r="16" spans="1:27" ht="7.35" customHeight="1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1"/>
    </row>
    <row r="17" spans="1:52" ht="18" customHeight="1" x14ac:dyDescent="0.25">
      <c r="A17" s="70" t="s">
        <v>156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1"/>
    </row>
    <row r="18" spans="1:52" ht="7.35" customHeight="1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1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</row>
    <row r="19" spans="1:52" ht="32.25" customHeight="1" x14ac:dyDescent="0.25">
      <c r="A19" s="252"/>
      <c r="B19" s="252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2"/>
      <c r="Z19" s="252"/>
      <c r="AA19" s="1"/>
      <c r="AB19" s="61"/>
      <c r="AC19" s="61"/>
      <c r="AD19" s="61"/>
      <c r="AE19" s="61"/>
      <c r="AF19" s="61"/>
      <c r="AG19" s="61"/>
      <c r="AH19" s="61"/>
      <c r="AI19" s="61"/>
      <c r="AJ19" s="62"/>
      <c r="AK19" s="62"/>
      <c r="AL19" s="62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</row>
    <row r="20" spans="1:52" ht="11.45" customHeight="1" x14ac:dyDescent="0.25">
      <c r="A20" s="252"/>
      <c r="B20" s="252"/>
      <c r="C20" s="254"/>
      <c r="D20" s="254"/>
      <c r="E20" s="255"/>
      <c r="F20" s="255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5"/>
      <c r="T20" s="255"/>
      <c r="U20" s="255"/>
      <c r="V20" s="255"/>
      <c r="W20" s="255"/>
      <c r="X20" s="255"/>
      <c r="Y20" s="32" t="str">
        <f>IF($S20=$S$15,"←","")</f>
        <v>←</v>
      </c>
      <c r="Z20" s="252"/>
      <c r="AA20" s="1"/>
      <c r="AB20" s="63" t="s">
        <v>157</v>
      </c>
      <c r="AC20" s="64">
        <v>0.3</v>
      </c>
      <c r="AD20" s="64">
        <v>0.25</v>
      </c>
      <c r="AE20" s="64">
        <v>0.2</v>
      </c>
      <c r="AF20" s="65">
        <v>0.15</v>
      </c>
      <c r="AG20" s="64">
        <v>0.1</v>
      </c>
      <c r="AH20" s="65">
        <v>0.05</v>
      </c>
      <c r="AI20" s="64">
        <v>0</v>
      </c>
      <c r="AJ20" s="62"/>
      <c r="AK20" s="62"/>
      <c r="AL20" s="62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</row>
    <row r="21" spans="1:52" ht="11.45" customHeight="1" x14ac:dyDescent="0.25">
      <c r="A21" s="252"/>
      <c r="B21" s="252"/>
      <c r="C21" s="254"/>
      <c r="D21" s="254"/>
      <c r="E21" s="255"/>
      <c r="F21" s="255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5"/>
      <c r="T21" s="255"/>
      <c r="U21" s="255"/>
      <c r="V21" s="255"/>
      <c r="W21" s="255"/>
      <c r="X21" s="255"/>
      <c r="Y21" s="32" t="str">
        <f t="shared" ref="Y21:Y41" si="0">IF($S21=$S$15,"←","")</f>
        <v>←</v>
      </c>
      <c r="Z21" s="252"/>
      <c r="AA21" s="1"/>
      <c r="AB21" s="66" t="s">
        <v>17</v>
      </c>
      <c r="AC21" s="66" t="s">
        <v>158</v>
      </c>
      <c r="AD21" s="66" t="s">
        <v>158</v>
      </c>
      <c r="AE21" s="66" t="s">
        <v>158</v>
      </c>
      <c r="AF21" s="66" t="s">
        <v>158</v>
      </c>
      <c r="AG21" s="66" t="s">
        <v>158</v>
      </c>
      <c r="AH21" s="66" t="s">
        <v>158</v>
      </c>
      <c r="AI21" s="66" t="s">
        <v>158</v>
      </c>
      <c r="AJ21" s="62"/>
      <c r="AK21" s="62"/>
      <c r="AL21" s="62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</row>
    <row r="22" spans="1:52" ht="11.45" customHeight="1" x14ac:dyDescent="0.25">
      <c r="A22" s="252"/>
      <c r="B22" s="252"/>
      <c r="C22" s="254"/>
      <c r="D22" s="254"/>
      <c r="E22" s="255"/>
      <c r="F22" s="255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5"/>
      <c r="T22" s="255"/>
      <c r="U22" s="255"/>
      <c r="V22" s="255"/>
      <c r="W22" s="255"/>
      <c r="X22" s="255"/>
      <c r="Y22" s="32" t="str">
        <f t="shared" si="0"/>
        <v>←</v>
      </c>
      <c r="Z22" s="252"/>
      <c r="AA22" s="1"/>
      <c r="AB22" s="67">
        <v>50</v>
      </c>
      <c r="AC22" s="68">
        <v>4.3617998163452715E-2</v>
      </c>
      <c r="AD22" s="68">
        <v>6.5426997245179058E-2</v>
      </c>
      <c r="AE22" s="68">
        <v>9.0679522497704321E-2</v>
      </c>
      <c r="AF22" s="68">
        <v>0.11593204775022954</v>
      </c>
      <c r="AG22" s="68">
        <v>0.1423324150596878</v>
      </c>
      <c r="AH22" s="68">
        <v>0.18021120293847565</v>
      </c>
      <c r="AI22" s="68">
        <v>0.21808999081726355</v>
      </c>
      <c r="AJ22" s="62"/>
      <c r="AK22" s="62"/>
      <c r="AL22" s="62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</row>
    <row r="23" spans="1:52" ht="11.45" customHeight="1" x14ac:dyDescent="0.25">
      <c r="A23" s="252"/>
      <c r="B23" s="252"/>
      <c r="C23" s="254"/>
      <c r="D23" s="254"/>
      <c r="E23" s="255"/>
      <c r="F23" s="255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5"/>
      <c r="T23" s="255"/>
      <c r="U23" s="255"/>
      <c r="V23" s="255"/>
      <c r="W23" s="255"/>
      <c r="X23" s="255"/>
      <c r="Y23" s="32" t="str">
        <f t="shared" si="0"/>
        <v>←</v>
      </c>
      <c r="Z23" s="252"/>
      <c r="AA23" s="1"/>
      <c r="AB23" s="67">
        <v>60</v>
      </c>
      <c r="AC23" s="68">
        <v>0.11363636363636362</v>
      </c>
      <c r="AD23" s="68">
        <v>0.1411845730027548</v>
      </c>
      <c r="AE23" s="68">
        <v>0.16873278236914602</v>
      </c>
      <c r="AF23" s="68">
        <v>0.19742883379247014</v>
      </c>
      <c r="AG23" s="68">
        <v>0.23071625344352617</v>
      </c>
      <c r="AH23" s="68">
        <v>0.27433425160697889</v>
      </c>
      <c r="AI23" s="68">
        <v>0.31450872359963267</v>
      </c>
      <c r="AJ23" s="62"/>
      <c r="AK23" s="62"/>
      <c r="AL23" s="62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</row>
    <row r="24" spans="1:52" ht="11.45" customHeight="1" x14ac:dyDescent="0.25">
      <c r="A24" s="252"/>
      <c r="B24" s="252"/>
      <c r="C24" s="254"/>
      <c r="D24" s="254"/>
      <c r="E24" s="255"/>
      <c r="F24" s="255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5"/>
      <c r="T24" s="255"/>
      <c r="U24" s="255"/>
      <c r="V24" s="255"/>
      <c r="W24" s="255"/>
      <c r="X24" s="255"/>
      <c r="Y24" s="32" t="str">
        <f t="shared" si="0"/>
        <v>←</v>
      </c>
      <c r="Z24" s="252"/>
      <c r="AA24" s="1"/>
      <c r="AB24" s="67">
        <v>70</v>
      </c>
      <c r="AC24" s="68">
        <v>0.18939393939393936</v>
      </c>
      <c r="AD24" s="68">
        <v>0.21923783287419649</v>
      </c>
      <c r="AE24" s="68">
        <v>0.25137741046831957</v>
      </c>
      <c r="AF24" s="68">
        <v>0.28466483011937554</v>
      </c>
      <c r="AG24" s="68">
        <v>0.32369146005509641</v>
      </c>
      <c r="AH24" s="68">
        <v>0.36960514233241504</v>
      </c>
      <c r="AI24" s="68">
        <v>0.41322314049586772</v>
      </c>
      <c r="AJ24" s="62"/>
      <c r="AK24" s="62"/>
      <c r="AL24" s="62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</row>
    <row r="25" spans="1:52" ht="11.45" customHeight="1" x14ac:dyDescent="0.25">
      <c r="A25" s="252"/>
      <c r="B25" s="252"/>
      <c r="C25" s="254"/>
      <c r="D25" s="254"/>
      <c r="E25" s="255"/>
      <c r="F25" s="255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5"/>
      <c r="T25" s="255"/>
      <c r="U25" s="255"/>
      <c r="V25" s="255"/>
      <c r="W25" s="255"/>
      <c r="X25" s="255"/>
      <c r="Y25" s="32" t="str">
        <f t="shared" si="0"/>
        <v>←</v>
      </c>
      <c r="Z25" s="252"/>
      <c r="AA25" s="1"/>
      <c r="AB25" s="67">
        <v>80</v>
      </c>
      <c r="AC25" s="68">
        <v>0.26515151515151514</v>
      </c>
      <c r="AD25" s="68">
        <v>0.29958677685950419</v>
      </c>
      <c r="AE25" s="68">
        <v>0.3351698806244261</v>
      </c>
      <c r="AF25" s="68">
        <v>0.37190082644628103</v>
      </c>
      <c r="AG25" s="68">
        <v>0.41551882460973377</v>
      </c>
      <c r="AH25" s="68">
        <v>0.46602387511478421</v>
      </c>
      <c r="AI25" s="68">
        <v>0.51423324150596883</v>
      </c>
      <c r="AJ25" s="62"/>
      <c r="AK25" s="62"/>
      <c r="AL25" s="62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</row>
    <row r="26" spans="1:52" ht="11.45" customHeight="1" x14ac:dyDescent="0.25">
      <c r="A26" s="252"/>
      <c r="B26" s="252"/>
      <c r="C26" s="254"/>
      <c r="D26" s="254"/>
      <c r="E26" s="255"/>
      <c r="F26" s="255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5"/>
      <c r="T26" s="255"/>
      <c r="U26" s="255"/>
      <c r="V26" s="255"/>
      <c r="W26" s="255"/>
      <c r="X26" s="255"/>
      <c r="Y26" s="32" t="str">
        <f t="shared" si="0"/>
        <v>←</v>
      </c>
      <c r="Z26" s="252"/>
      <c r="AA26" s="1"/>
      <c r="AB26" s="67">
        <v>90</v>
      </c>
      <c r="AC26" s="68">
        <v>0.33631772268135907</v>
      </c>
      <c r="AD26" s="68">
        <v>0.37649219467401285</v>
      </c>
      <c r="AE26" s="68">
        <v>0.41551882460973377</v>
      </c>
      <c r="AF26" s="68">
        <v>0.45798898071625338</v>
      </c>
      <c r="AG26" s="68">
        <v>0.50849403122130399</v>
      </c>
      <c r="AH26" s="68">
        <v>0.56244260789715339</v>
      </c>
      <c r="AI26" s="68">
        <v>0.61409550045913686</v>
      </c>
      <c r="AJ26" s="62"/>
      <c r="AK26" s="62"/>
      <c r="AL26" s="62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</row>
    <row r="27" spans="1:52" ht="11.45" customHeight="1" x14ac:dyDescent="0.25">
      <c r="A27" s="252"/>
      <c r="B27" s="252"/>
      <c r="C27" s="254"/>
      <c r="D27" s="254"/>
      <c r="E27" s="254"/>
      <c r="F27" s="254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5"/>
      <c r="T27" s="255"/>
      <c r="U27" s="255"/>
      <c r="V27" s="255"/>
      <c r="W27" s="255"/>
      <c r="X27" s="255"/>
      <c r="Y27" s="32" t="str">
        <f t="shared" si="0"/>
        <v>←</v>
      </c>
      <c r="Z27" s="252"/>
      <c r="AA27" s="1"/>
      <c r="AB27" s="67">
        <v>99</v>
      </c>
      <c r="AC27" s="68">
        <v>0.38911845730027539</v>
      </c>
      <c r="AD27" s="68">
        <v>0.43503213957759418</v>
      </c>
      <c r="AE27" s="68">
        <v>0.48094582185491275</v>
      </c>
      <c r="AF27" s="68">
        <v>0.53030303030303028</v>
      </c>
      <c r="AG27" s="68">
        <v>0.58654729109274573</v>
      </c>
      <c r="AH27" s="68">
        <v>0.64623507805325975</v>
      </c>
      <c r="AI27" s="68">
        <v>0.70477502295684102</v>
      </c>
      <c r="AJ27" s="62"/>
      <c r="AK27" s="62"/>
      <c r="AL27" s="62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</row>
    <row r="28" spans="1:52" ht="11.45" customHeight="1" x14ac:dyDescent="0.25">
      <c r="A28" s="252"/>
      <c r="B28" s="252"/>
      <c r="C28" s="257"/>
      <c r="D28" s="257"/>
      <c r="E28" s="254"/>
      <c r="F28" s="254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5"/>
      <c r="T28" s="255"/>
      <c r="U28" s="255"/>
      <c r="V28" s="255"/>
      <c r="W28" s="255"/>
      <c r="X28" s="255"/>
      <c r="Y28" s="32" t="str">
        <f t="shared" si="0"/>
        <v>←</v>
      </c>
      <c r="Z28" s="252"/>
      <c r="AA28" s="1"/>
      <c r="AB28" s="62"/>
      <c r="AC28" s="62"/>
      <c r="AD28" s="62" t="e">
        <f>IF(S11/S9=0.3,AD29,IF(S11/S9&gt;=0.25,AD30+(AD29-AD30)*((0.3-S11/S9)/(0.05)),IF(S11/S9&gt;=0.2,AD30+(AD29-AD30)*((0.25-S11/S9)/(0.05)),IF(S11/S9&gt;=0.15,AD30+(AD29-AD30)*((0.2-S11/S9)/(0.05)),IF(S11/S9&gt;=0.1,AD30+(AD29-AD30)*((0.15-S11/S9)/(0.05)),IF(S11/S9&gt;=0.05,AD30+(AD29-AD30)*((0.1-S11/S9)/(0.05)),IF(S11/S9&gt;=0,AD30+(AD29-AD30)*((0.05-S11/S9-0)/(0.05)))))))))</f>
        <v>#DIV/0!</v>
      </c>
      <c r="AE28" s="62"/>
      <c r="AF28" s="62"/>
      <c r="AG28" s="62"/>
      <c r="AH28" s="62"/>
      <c r="AI28" s="62"/>
      <c r="AJ28" s="62"/>
      <c r="AK28" s="62"/>
      <c r="AL28" s="62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</row>
    <row r="29" spans="1:52" ht="11.45" customHeight="1" x14ac:dyDescent="0.25">
      <c r="A29" s="252"/>
      <c r="B29" s="252"/>
      <c r="C29" s="254"/>
      <c r="D29" s="254"/>
      <c r="E29" s="254"/>
      <c r="F29" s="254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5"/>
      <c r="T29" s="255"/>
      <c r="U29" s="255"/>
      <c r="V29" s="255"/>
      <c r="W29" s="255"/>
      <c r="X29" s="255"/>
      <c r="Y29" s="32" t="str">
        <f t="shared" si="0"/>
        <v>←</v>
      </c>
      <c r="Z29" s="252"/>
      <c r="AB29" s="62"/>
      <c r="AC29" s="62" t="s">
        <v>159</v>
      </c>
      <c r="AD29" s="62" t="e">
        <f>IF(S11/S9=0.3,IF(S10=99,AC27,IF(AND(90&lt;=S10,S10&lt;99),AC26+(AC27-AC26)*((S10-90)/(99-90)),IF(AND(80&lt;=S10,S10&lt;90),AC25+(AC26-AC25)*((S10-80)/(90-80)),IF(AND(70&lt;=S10,S10&lt;80),AC24+(AC25-AC24)*((S10-70)/(80-70)),IF(AND(60&lt;=S10,S10&lt;70),AC23+(AC24-AC23)*((S10-60)/(70-60)),IF(AND(50&lt;=S10,S10&lt;60),AC22+(AC23-AC22)*((S10-50)/(60-50)),"ERROR")))))),
IF(AND(0.3&gt;S11/S9,S11/S9&gt;=0.25),IF(S10=99,AD27,IF(AND(90&lt;=S10,S10&lt;99),AD26+(AD27-AD26)*((S10-90)/(99-90)),IF(AND(80&lt;=S10,S10&lt;90),AD25+(AD26-AD25)*((S10-80)/(90-80)),IF(AND(70&lt;=S10,S10&lt;80),AD24+(AD25-AD24)*((S10-70)/(80-70)),IF(AND(60&lt;=S10,S10&lt;70),AD23+(AD24-AD23)*((S10-60)/(70-60)),IF(AND(50&lt;=S10,S10&lt;60),AD22+(AD23-AD22)*((S10-50)/(60-50)),"ERROR")))))),
IF(AND(0.25&gt;S11/S9,S11/S9&gt;=0.2),IF(S10=99,AE27,IF(AND(90&lt;=S10,S10&lt;99),AE26+(AE27-AE26)*((S10-90)/(99-90)),IF(AND(80&lt;=S10,S10&lt;90),AE25+(AE26-AE25)*((S10-80)/(90-80)),IF(AND(70&lt;=S10,S10&lt;80),AE24+(AE25-AE24)*((S10-70)/(80-70)),IF(AND(60&lt;=S10,S10&lt;70),AE23+(AE24-AE23)*((S10-60)/(70-60)),IF(AND(50&lt;=S10,S10&lt;60),AE22+(AE23-AE22)*((S10-50)/(60-50)),"ERROR")))))),
IF(AND(0.2&gt;S11/S9,S11/S9&gt;=0.15),IF(S10=99,AF27,IF(AND(90&lt;=S10,S10&lt;99),AF26+(AF27-AF26)*((S10-90)/(99-90)),IF(AND(80&lt;=S10,S10&lt;90),AF25+(AF26-AF25)*((S10-80)/(90-80)),IF(AND(70&lt;=S10,S10&lt;80),AF24+(AF25-AF24)*((S10-70)/(80-70)),IF(AND(60&lt;=S10,S10&lt;70),AF23+(AF24-AF23)*((S10-60)/(70-60)),IF(AND(50&lt;=S10,S10&lt;60),AF22+(AF23-AF22)*((S10-50)/(60-50)),"ERROR")))))),
IF(AND(0.15&gt;S11/S9,S11/S9&gt;=0.1),IF(S10=99,AG27,IF(AND(90&lt;=S10,S10&lt;99),AG26+(AG27-AG26)*((S10-90)/(99-90)),IF(AND(80&lt;=S10,S10&lt;90),AG25+(AG26-AG25)*((S10-80)/(90-80)),IF(AND(70&lt;=S10,S10&lt;80),AG24+(AG25-AG24)*((S10-70)/(80-70)),IF(AND(60&lt;=S10,S10&lt;70),AG23+(AG24-AG23)*((S10-60)/(70-60)),IF(AND(50&lt;=S10,S10&lt;60),AG22+(AG23-AG22)*((S10-50)/(60-50)),"ERROR")))))),
IF(AND(0.1&gt;S11/S9,S11/S9&gt;=0.05),IF(S10=99,AH27,IF(AND(90&lt;=S10,S10&lt;99),AH26+(AH27-AH26)*((S10-90)/(99-90)),IF(AND(80&lt;=S10,S10&lt;90),AH25+(AH26-AH25)*((S10-80)/(90-80)),IF(AND(70&lt;=S10,S10&lt;80),AH24+(AH25-AH24)*((S10-70)/(80-70)),IF(AND(60&lt;=S10,S10&lt;70),AH23+(AH24-AH23)*((S10-60)/(70-60)),IF(AND(50&lt;=S10,S10&lt;60),AH22+(AH23-AH22)*((S10-50)/(60-50)),"ERROR")))))),
IF(AND(0.05&gt;S11/S9,S11/S9&gt;=0),IF(S10=99,AI27,IF(AND(90&lt;=S10,S10&lt;99),AI26+(AI27-AI26)*((S10-90)/(99-90)),IF(AND(80&lt;=S10,S10&lt;90),AI25+(AI26-AI25)*((S10-80)/(90-80)),IF(AND(70&lt;=S10,S10&lt;80),AI24+(AI25-AI24)*((S10-70)/(80-70)),IF(AND(60&lt;=S10,S10&lt;70),AI23+(AI24-AI23)*((S10-60)/(70-60)),IF(AND(50&lt;=S10,S10&lt;60),AI22+(AI23-AI22)*((S10-50)/(60-50)),"ERROR")))))))))))))</f>
        <v>#DIV/0!</v>
      </c>
      <c r="AE29" s="62">
        <v>0</v>
      </c>
      <c r="AF29" s="62"/>
      <c r="AG29" s="62"/>
      <c r="AH29" s="62"/>
      <c r="AI29" s="62"/>
      <c r="AJ29" s="62"/>
      <c r="AK29" s="62"/>
      <c r="AL29" s="62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</row>
    <row r="30" spans="1:52" ht="11.45" customHeight="1" x14ac:dyDescent="0.25">
      <c r="A30" s="252"/>
      <c r="B30" s="252"/>
      <c r="C30" s="254"/>
      <c r="D30" s="254"/>
      <c r="E30" s="254"/>
      <c r="F30" s="254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5"/>
      <c r="T30" s="255"/>
      <c r="U30" s="255"/>
      <c r="V30" s="255"/>
      <c r="W30" s="255"/>
      <c r="X30" s="255"/>
      <c r="Y30" s="32" t="str">
        <f t="shared" si="0"/>
        <v>←</v>
      </c>
      <c r="Z30" s="252"/>
      <c r="AB30" s="62"/>
      <c r="AC30" s="62" t="s">
        <v>160</v>
      </c>
      <c r="AD30" s="62" t="e">
        <f>IF(S11/S9=0.3,IF(S10=99,AC27,IF(AND(90&lt;=S10,S10&lt;99),AC26+(AC27-AC26)*((S10-90)/(99-90)),IF(AND(80&lt;=S10,S10&lt;90),AC25+(AC26-AC25)*((S10-80)/(90-80)),IF(AND(70&lt;=S10,S10&lt;80),AC24+(AC25-AC24)*((S10-70)/(80-70)),IF(AND(60&lt;=S10,S10&lt;70),AC23+(AC24-AC23)*((S10-60)/(70-60)),IF(AND(50&lt;=S10,S10&lt;60),AC22+(AC23-AC22)*((S10-50)/(60-50)),"ERROR")))))),
IF(AND(0.3&gt;S11/S9,S11/S9&gt;=0.25),IF(S10=99,AC27,IF(AND(90&lt;=S10,S10&lt;99),AC26+(AC27-AC26)*((S10-90)/(99-90)),IF(AND(80&lt;=S10,S10&lt;90),AC25+(AC26-AC25)*((S10-80)/(90-80)),IF(AND(70&lt;=S10,S10&lt;80),AC24+(AC25-AC24)*((S10-70)/(80-70)),IF(AND(60&lt;=S10,S10&lt;70),AC23+(AC24-AC23)*((S10-60)/(70-60)),IF(AND(50&lt;=S10,S10&lt;60),AC22+(AC23-AC22)*((S10-50)/(60-50)),"ERROR")))))),
IF(AND(0.25&gt;S11/S9,S11/S9&gt;=0.2),IF(S10=99,AD27,IF(AND(90&lt;=S10,S10&lt;99),AD26+(AD27-AD26)*((S10-90)/(99-90)),IF(AND(80&lt;=S10,S10&lt;90),AD25+(AD26-AD25)*((S10-80)/(90-80)),IF(AND(70&lt;=S10,S10&lt;80),AD24+(AD25-AD24)*((S10-70)/(80-70)),IF(AND(60&lt;=S10,S10&lt;70),AD23+(AD24-AD23)*((S10-60)/(70-60)),IF(AND(50&lt;=S10,S10&lt;60),AD22+(AD23-AD22)*((S10-50)/(60-50)),"ERROR")))))),
IF(AND(0.2&gt;S11/S9,S11/S9&gt;=0.15),IF(S10=99,AE27,IF(AND(90&lt;=S10,S10&lt;99),AE26+(AE27-AE26)*((S10-90)/(99-90)),IF(AND(80&lt;=S10,S10&lt;90),AE25+(AE26-AE25)*((S10-80)/(90-80)),IF(AND(70&lt;=S10,S10&lt;80),AE24+(AE25-AE24)*((S10-70)/(80-70)),IF(AND(60&lt;=S10,S10&lt;70),AE23+(AE24-AE23)*((S10-60)/(70-60)),IF(AND(50&lt;=S10,S10&lt;60),AE22+(AE23-AE22)*((S10-50)/(60-50)),"ERROR")))))),
IF(AND(0.15&gt;S11/S9,S11/S9&gt;=0.1),IF(S10=99,AF27,IF(AND(90&lt;=S10,S10&lt;99),AF26+(AF27-AF26)*((S10-90)/(99-90)),IF(AND(80&lt;=S10,S10&lt;90),AF25+(AF26-AF25)*((S10-80)/(90-80)),IF(AND(70&lt;=S10,S10&lt;80),AF24+(AF25-AF24)*((S10-70)/(80-70)),IF(AND(60&lt;=S10,S10&lt;70),AF23+(AF24-AF23)*((S10-60)/(70-60)),IF(AND(50&lt;=S10,S10&lt;60),AF22+(AF23-AF22)*((S10-50)/(60-50)),"ERROR")))))),
IF(AND(0.1&gt;S11/S9,S11/S9&gt;=0.05),IF(S10=99,AG27,IF(AND(90&lt;=S10,S10&lt;99),AG26+(AG27-AG26)*((S10-90)/(99-90)),IF(AND(80&lt;=S10,S10&lt;90),AG25+(AG26-AG25)*((S10-80)/(90-80)),IF(AND(70&lt;=S10,S10&lt;80),AG24+(AG25-AG24)*((S10-70)/(80-70)),IF(AND(60&lt;=S10,S10&lt;70),AG23+(AG24-AG23)*((S10-60)/(70-60)),IF(AND(50&lt;=S10,S10&lt;60),AG22+(AG23-AG22)*((S10-50)/(60-50)),"ERROR")))))),
IF(AND(0.05&gt;S11/S9,S11/S9&gt;=0),IF(S10=99,AH27,IF(AND(90&lt;=S10,S10&lt;99),AH26+(AH27-AH26)*((S10-90)/(99-90)),IF(AND(80&lt;=S10,S10&lt;90),AH25+(AH26-AH25)*((S10-80)/(90-80)),IF(AND(70&lt;=S10,S10&lt;80),AH24+(AH25-AH24)*((S10-70)/(80-70)),IF(AND(60&lt;=S10,S10&lt;70),AH23+(AH24-AH23)*((S10-60)/(70-60)),IF(AND(50&lt;=S10,S10&lt;60),AH22+(AH23-AH22)*((S10-50)/(60-50)),"ERROR")))))))))))))</f>
        <v>#DIV/0!</v>
      </c>
      <c r="AE30" s="62"/>
      <c r="AF30" s="62"/>
      <c r="AG30" s="62"/>
      <c r="AH30" s="62"/>
      <c r="AI30" s="62"/>
      <c r="AJ30" s="62"/>
      <c r="AK30" s="62"/>
      <c r="AL30" s="62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</row>
    <row r="31" spans="1:52" ht="11.45" customHeight="1" x14ac:dyDescent="0.25">
      <c r="A31" s="252"/>
      <c r="B31" s="252"/>
      <c r="C31" s="254"/>
      <c r="D31" s="254"/>
      <c r="E31" s="254"/>
      <c r="F31" s="254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5"/>
      <c r="T31" s="255"/>
      <c r="U31" s="255"/>
      <c r="V31" s="255"/>
      <c r="W31" s="255"/>
      <c r="X31" s="255"/>
      <c r="Y31" s="32" t="str">
        <f t="shared" si="0"/>
        <v>←</v>
      </c>
      <c r="Z31" s="25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</row>
    <row r="32" spans="1:52" ht="11.45" customHeight="1" x14ac:dyDescent="0.25">
      <c r="A32" s="252"/>
      <c r="B32" s="252"/>
      <c r="C32" s="254"/>
      <c r="D32" s="254"/>
      <c r="E32" s="254"/>
      <c r="F32" s="254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5"/>
      <c r="T32" s="255"/>
      <c r="U32" s="255"/>
      <c r="V32" s="255"/>
      <c r="W32" s="255"/>
      <c r="X32" s="255"/>
      <c r="Y32" s="32" t="str">
        <f t="shared" si="0"/>
        <v>←</v>
      </c>
      <c r="Z32" s="252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</row>
    <row r="33" spans="1:52" ht="11.45" customHeight="1" x14ac:dyDescent="0.25">
      <c r="A33" s="252"/>
      <c r="B33" s="252"/>
      <c r="C33" s="254"/>
      <c r="D33" s="254"/>
      <c r="E33" s="254"/>
      <c r="F33" s="254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5"/>
      <c r="T33" s="255"/>
      <c r="U33" s="255"/>
      <c r="V33" s="255"/>
      <c r="W33" s="255"/>
      <c r="X33" s="255"/>
      <c r="Y33" s="32" t="str">
        <f t="shared" si="0"/>
        <v>←</v>
      </c>
      <c r="Z33" s="252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</row>
    <row r="34" spans="1:52" ht="11.45" customHeight="1" x14ac:dyDescent="0.25">
      <c r="A34" s="252"/>
      <c r="B34" s="252"/>
      <c r="C34" s="254"/>
      <c r="D34" s="254"/>
      <c r="E34" s="254"/>
      <c r="F34" s="254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5"/>
      <c r="T34" s="255"/>
      <c r="U34" s="255"/>
      <c r="V34" s="255"/>
      <c r="W34" s="255"/>
      <c r="X34" s="255"/>
      <c r="Y34" s="32" t="str">
        <f t="shared" si="0"/>
        <v>←</v>
      </c>
      <c r="Z34" s="252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</row>
    <row r="35" spans="1:52" ht="11.45" customHeight="1" x14ac:dyDescent="0.25">
      <c r="A35" s="252"/>
      <c r="B35" s="252"/>
      <c r="C35" s="254"/>
      <c r="D35" s="254"/>
      <c r="E35" s="254"/>
      <c r="F35" s="254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5"/>
      <c r="T35" s="255"/>
      <c r="U35" s="255"/>
      <c r="V35" s="255"/>
      <c r="W35" s="255"/>
      <c r="X35" s="255"/>
      <c r="Y35" s="32" t="str">
        <f t="shared" si="0"/>
        <v>←</v>
      </c>
      <c r="Z35" s="252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</row>
    <row r="36" spans="1:52" ht="11.45" customHeight="1" x14ac:dyDescent="0.25">
      <c r="A36" s="252"/>
      <c r="B36" s="252"/>
      <c r="C36" s="254"/>
      <c r="D36" s="254"/>
      <c r="E36" s="254"/>
      <c r="F36" s="254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5"/>
      <c r="T36" s="255"/>
      <c r="U36" s="255"/>
      <c r="V36" s="255"/>
      <c r="W36" s="255"/>
      <c r="X36" s="255"/>
      <c r="Y36" s="32" t="str">
        <f t="shared" si="0"/>
        <v>←</v>
      </c>
      <c r="Z36" s="252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</row>
    <row r="37" spans="1:52" ht="11.45" customHeight="1" x14ac:dyDescent="0.25">
      <c r="A37" s="252"/>
      <c r="B37" s="252"/>
      <c r="C37" s="254"/>
      <c r="D37" s="254"/>
      <c r="E37" s="254"/>
      <c r="F37" s="254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5"/>
      <c r="T37" s="255"/>
      <c r="U37" s="255"/>
      <c r="V37" s="255"/>
      <c r="W37" s="255"/>
      <c r="X37" s="255"/>
      <c r="Y37" s="32" t="str">
        <f t="shared" si="0"/>
        <v>←</v>
      </c>
      <c r="Z37" s="252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</row>
    <row r="38" spans="1:52" ht="11.45" customHeight="1" x14ac:dyDescent="0.25">
      <c r="A38" s="252"/>
      <c r="B38" s="252"/>
      <c r="C38" s="254"/>
      <c r="D38" s="254"/>
      <c r="E38" s="254"/>
      <c r="F38" s="254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5"/>
      <c r="T38" s="255"/>
      <c r="U38" s="255"/>
      <c r="V38" s="255"/>
      <c r="W38" s="255"/>
      <c r="X38" s="255"/>
      <c r="Y38" s="32" t="str">
        <f t="shared" si="0"/>
        <v>←</v>
      </c>
      <c r="Z38" s="252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</row>
    <row r="39" spans="1:52" ht="11.45" customHeight="1" x14ac:dyDescent="0.25">
      <c r="A39" s="252"/>
      <c r="B39" s="252"/>
      <c r="C39" s="254"/>
      <c r="D39" s="254"/>
      <c r="E39" s="254"/>
      <c r="F39" s="254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5"/>
      <c r="T39" s="255"/>
      <c r="U39" s="255"/>
      <c r="V39" s="255"/>
      <c r="W39" s="255"/>
      <c r="X39" s="255"/>
      <c r="Y39" s="32" t="str">
        <f t="shared" si="0"/>
        <v>←</v>
      </c>
      <c r="Z39" s="252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</row>
    <row r="40" spans="1:52" ht="11.45" customHeight="1" x14ac:dyDescent="0.25">
      <c r="A40" s="252"/>
      <c r="B40" s="252"/>
      <c r="C40" s="254"/>
      <c r="D40" s="254"/>
      <c r="E40" s="254"/>
      <c r="F40" s="254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5"/>
      <c r="T40" s="255"/>
      <c r="U40" s="255"/>
      <c r="V40" s="255"/>
      <c r="W40" s="255"/>
      <c r="X40" s="255"/>
      <c r="Y40" s="32" t="str">
        <f t="shared" si="0"/>
        <v>←</v>
      </c>
      <c r="Z40" s="252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</row>
    <row r="41" spans="1:52" ht="11.45" customHeight="1" x14ac:dyDescent="0.25">
      <c r="A41" s="252"/>
      <c r="B41" s="252"/>
      <c r="C41" s="254"/>
      <c r="D41" s="254"/>
      <c r="E41" s="254"/>
      <c r="F41" s="254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5"/>
      <c r="T41" s="255"/>
      <c r="U41" s="255"/>
      <c r="V41" s="255"/>
      <c r="W41" s="255"/>
      <c r="X41" s="255"/>
      <c r="Y41" s="32" t="str">
        <f t="shared" si="0"/>
        <v>←</v>
      </c>
      <c r="Z41" s="252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</row>
    <row r="42" spans="1:52" ht="11.45" customHeight="1" x14ac:dyDescent="0.25">
      <c r="A42" s="252"/>
      <c r="B42" s="252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2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</row>
    <row r="43" spans="1:52" ht="11.45" customHeight="1" x14ac:dyDescent="0.25">
      <c r="A43" s="252"/>
      <c r="B43" s="252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2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</row>
    <row r="44" spans="1:52" ht="11.45" customHeight="1" x14ac:dyDescent="0.25">
      <c r="A44" s="252"/>
      <c r="B44" s="252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2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</row>
    <row r="45" spans="1:52" ht="11.45" customHeight="1" x14ac:dyDescent="0.25">
      <c r="A45" s="252"/>
      <c r="B45" s="252"/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2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</row>
    <row r="46" spans="1:52" ht="11.45" customHeight="1" x14ac:dyDescent="0.25">
      <c r="A46" s="252"/>
      <c r="B46" s="252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2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</row>
    <row r="47" spans="1:52" ht="11.45" customHeight="1" x14ac:dyDescent="0.25">
      <c r="A47" s="252"/>
      <c r="B47" s="252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258"/>
      <c r="Y47" s="258"/>
      <c r="Z47" s="252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</row>
    <row r="48" spans="1:52" ht="11.45" customHeight="1" x14ac:dyDescent="0.25">
      <c r="A48" s="252"/>
      <c r="B48" s="252"/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2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</row>
    <row r="49" spans="1:52" ht="11.45" customHeight="1" x14ac:dyDescent="0.25">
      <c r="A49" s="252"/>
      <c r="B49" s="252"/>
      <c r="C49" s="258"/>
      <c r="D49" s="258"/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2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</row>
    <row r="50" spans="1:52" ht="18" customHeight="1" x14ac:dyDescent="0.25">
      <c r="C50" s="18"/>
      <c r="D50" s="18"/>
      <c r="E50" s="18"/>
      <c r="F50" s="18"/>
    </row>
    <row r="51" spans="1:52" ht="18" customHeight="1" x14ac:dyDescent="0.25">
      <c r="C51" s="18"/>
      <c r="D51" s="18"/>
      <c r="E51" s="18"/>
      <c r="F51" s="18"/>
    </row>
  </sheetData>
  <sheetProtection algorithmName="SHA-512" hashValue="5veBLlhPn0137DNkway9Ih8cfrf0ctA7p6r3vpq2RyTR5gUnEn03I5BvZF/w0cIZ1LXtYxuZZ7JJdNTmNjpKsg==" saltValue="mej/nES9YubuhDjF22kDqw==" spinCount="100000" sheet="1" selectLockedCells="1"/>
  <mergeCells count="178">
    <mergeCell ref="C42:Y49"/>
    <mergeCell ref="C41:D41"/>
    <mergeCell ref="E41:F41"/>
    <mergeCell ref="G41:J41"/>
    <mergeCell ref="K41:N41"/>
    <mergeCell ref="O41:R41"/>
    <mergeCell ref="S41:X41"/>
    <mergeCell ref="C40:D40"/>
    <mergeCell ref="E40:F40"/>
    <mergeCell ref="G40:J40"/>
    <mergeCell ref="K40:N40"/>
    <mergeCell ref="O40:R40"/>
    <mergeCell ref="S40:X40"/>
    <mergeCell ref="C39:D39"/>
    <mergeCell ref="E39:F39"/>
    <mergeCell ref="G39:J39"/>
    <mergeCell ref="K39:N39"/>
    <mergeCell ref="O39:R39"/>
    <mergeCell ref="S39:X39"/>
    <mergeCell ref="C38:D38"/>
    <mergeCell ref="E38:F38"/>
    <mergeCell ref="G38:J38"/>
    <mergeCell ref="K38:N38"/>
    <mergeCell ref="O38:R38"/>
    <mergeCell ref="S38:X38"/>
    <mergeCell ref="C37:D37"/>
    <mergeCell ref="E37:F37"/>
    <mergeCell ref="G37:J37"/>
    <mergeCell ref="K37:N37"/>
    <mergeCell ref="O37:R37"/>
    <mergeCell ref="S37:X37"/>
    <mergeCell ref="C36:D36"/>
    <mergeCell ref="E36:F36"/>
    <mergeCell ref="G36:J36"/>
    <mergeCell ref="K36:N36"/>
    <mergeCell ref="O36:R36"/>
    <mergeCell ref="S36:X36"/>
    <mergeCell ref="C35:D35"/>
    <mergeCell ref="E35:F35"/>
    <mergeCell ref="G35:J35"/>
    <mergeCell ref="K35:N35"/>
    <mergeCell ref="O35:R35"/>
    <mergeCell ref="S35:X35"/>
    <mergeCell ref="C34:D34"/>
    <mergeCell ref="E34:F34"/>
    <mergeCell ref="G34:J34"/>
    <mergeCell ref="K34:N34"/>
    <mergeCell ref="O34:R34"/>
    <mergeCell ref="S34:X34"/>
    <mergeCell ref="C33:D33"/>
    <mergeCell ref="E33:F33"/>
    <mergeCell ref="G33:J33"/>
    <mergeCell ref="K33:N33"/>
    <mergeCell ref="O33:R33"/>
    <mergeCell ref="S33:X33"/>
    <mergeCell ref="C32:D32"/>
    <mergeCell ref="E32:F32"/>
    <mergeCell ref="G32:J32"/>
    <mergeCell ref="K32:N32"/>
    <mergeCell ref="O32:R32"/>
    <mergeCell ref="S32:X32"/>
    <mergeCell ref="C31:D31"/>
    <mergeCell ref="E31:F31"/>
    <mergeCell ref="G31:J31"/>
    <mergeCell ref="K31:N31"/>
    <mergeCell ref="O31:R31"/>
    <mergeCell ref="S31:X31"/>
    <mergeCell ref="C30:D30"/>
    <mergeCell ref="E30:F30"/>
    <mergeCell ref="G30:J30"/>
    <mergeCell ref="K30:N30"/>
    <mergeCell ref="O30:R30"/>
    <mergeCell ref="S30:X30"/>
    <mergeCell ref="C29:D29"/>
    <mergeCell ref="E29:F29"/>
    <mergeCell ref="G29:J29"/>
    <mergeCell ref="K29:N29"/>
    <mergeCell ref="O29:R29"/>
    <mergeCell ref="S29:X29"/>
    <mergeCell ref="C28:D28"/>
    <mergeCell ref="E28:F28"/>
    <mergeCell ref="G28:J28"/>
    <mergeCell ref="K28:N28"/>
    <mergeCell ref="O28:R28"/>
    <mergeCell ref="S28:X28"/>
    <mergeCell ref="C27:D27"/>
    <mergeCell ref="E27:F27"/>
    <mergeCell ref="G27:J27"/>
    <mergeCell ref="K27:N27"/>
    <mergeCell ref="O27:R27"/>
    <mergeCell ref="S27:X27"/>
    <mergeCell ref="C26:D26"/>
    <mergeCell ref="E26:F26"/>
    <mergeCell ref="G26:J26"/>
    <mergeCell ref="K26:N26"/>
    <mergeCell ref="O26:R26"/>
    <mergeCell ref="S26:X26"/>
    <mergeCell ref="C25:D25"/>
    <mergeCell ref="E25:F25"/>
    <mergeCell ref="G25:J25"/>
    <mergeCell ref="K25:N25"/>
    <mergeCell ref="O25:R25"/>
    <mergeCell ref="S25:X25"/>
    <mergeCell ref="C24:D24"/>
    <mergeCell ref="E24:F24"/>
    <mergeCell ref="G24:J24"/>
    <mergeCell ref="K24:N24"/>
    <mergeCell ref="O24:R24"/>
    <mergeCell ref="S24:X24"/>
    <mergeCell ref="O23:R23"/>
    <mergeCell ref="S23:X23"/>
    <mergeCell ref="S21:X21"/>
    <mergeCell ref="C22:D22"/>
    <mergeCell ref="E22:F22"/>
    <mergeCell ref="G22:J22"/>
    <mergeCell ref="K22:N22"/>
    <mergeCell ref="O22:R22"/>
    <mergeCell ref="S22:X22"/>
    <mergeCell ref="A18:Z18"/>
    <mergeCell ref="A19:B49"/>
    <mergeCell ref="C19:F19"/>
    <mergeCell ref="G19:J19"/>
    <mergeCell ref="K19:N19"/>
    <mergeCell ref="O19:R19"/>
    <mergeCell ref="S19:X19"/>
    <mergeCell ref="Y19:Z19"/>
    <mergeCell ref="C20:D20"/>
    <mergeCell ref="E20:F20"/>
    <mergeCell ref="G20:J20"/>
    <mergeCell ref="K20:N20"/>
    <mergeCell ref="O20:R20"/>
    <mergeCell ref="S20:X20"/>
    <mergeCell ref="Z20:Z49"/>
    <mergeCell ref="C21:D21"/>
    <mergeCell ref="E21:F21"/>
    <mergeCell ref="G21:J21"/>
    <mergeCell ref="K21:N21"/>
    <mergeCell ref="O21:R21"/>
    <mergeCell ref="C23:D23"/>
    <mergeCell ref="E23:F23"/>
    <mergeCell ref="G23:J23"/>
    <mergeCell ref="K23:N23"/>
    <mergeCell ref="C15:O15"/>
    <mergeCell ref="P15:R15"/>
    <mergeCell ref="S15:X15"/>
    <mergeCell ref="Y15:Z15"/>
    <mergeCell ref="A16:Z16"/>
    <mergeCell ref="A17:Z17"/>
    <mergeCell ref="P11:R11"/>
    <mergeCell ref="S11:X11"/>
    <mergeCell ref="Y11:Z11"/>
    <mergeCell ref="A12:Z12"/>
    <mergeCell ref="A13:Z13"/>
    <mergeCell ref="A14:Z14"/>
    <mergeCell ref="A9:A11"/>
    <mergeCell ref="C9:O9"/>
    <mergeCell ref="P9:R9"/>
    <mergeCell ref="S9:X9"/>
    <mergeCell ref="Y9:Z9"/>
    <mergeCell ref="C10:O10"/>
    <mergeCell ref="P10:R10"/>
    <mergeCell ref="S10:X10"/>
    <mergeCell ref="Y10:Z10"/>
    <mergeCell ref="C11:O11"/>
    <mergeCell ref="D5:P5"/>
    <mergeCell ref="Q5:U5"/>
    <mergeCell ref="V5:Z5"/>
    <mergeCell ref="A6:Z6"/>
    <mergeCell ref="A7:Z7"/>
    <mergeCell ref="A8:Z8"/>
    <mergeCell ref="A1:Z1"/>
    <mergeCell ref="A2:Z2"/>
    <mergeCell ref="D3:P3"/>
    <mergeCell ref="Q3:U3"/>
    <mergeCell ref="V3:Z3"/>
    <mergeCell ref="A4:Z4"/>
    <mergeCell ref="A3:C3"/>
    <mergeCell ref="A5:C5"/>
  </mergeCells>
  <conditionalFormatting sqref="S20:X41">
    <cfRule type="cellIs" dxfId="11" priority="1" operator="equal">
      <formula>$S$15</formula>
    </cfRule>
  </conditionalFormatting>
  <printOptions horizontalCentered="1"/>
  <pageMargins left="1" right="1" top="0.5" bottom="0.5" header="0" footer="0"/>
  <pageSetup orientation="portrait" r:id="rId1"/>
  <headerFooter>
    <oddFooter xml:space="preserve">&amp;L4/7/2022
</oddFooter>
  </headerFooter>
  <colBreaks count="1" manualBreakCount="1">
    <brk id="26" max="1048575" man="1"/>
  </colBreaks>
  <ignoredErrors>
    <ignoredError sqref="A12:Z14 A9:R9 Y9:Z9 A10:R10 Y10:Z10 A11:R11 Y11:Z11 A15:R15 T15:Z15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51"/>
  <sheetViews>
    <sheetView showGridLines="0" zoomScaleNormal="100" zoomScaleSheetLayoutView="130" zoomScalePageLayoutView="160" workbookViewId="0">
      <selection activeCell="D3" sqref="D3:P3"/>
    </sheetView>
  </sheetViews>
  <sheetFormatPr defaultColWidth="3.140625" defaultRowHeight="18" customHeight="1" x14ac:dyDescent="0.25"/>
  <cols>
    <col min="1" max="26" width="3.140625" style="2"/>
    <col min="27" max="27" width="0" style="2" hidden="1" customWidth="1"/>
    <col min="28" max="28" width="3.28515625" style="2" hidden="1" customWidth="1"/>
    <col min="29" max="35" width="5.7109375" style="2" hidden="1" customWidth="1"/>
    <col min="36" max="16384" width="3.140625" style="2"/>
  </cols>
  <sheetData>
    <row r="1" spans="1:36" ht="18" customHeight="1" thickBot="1" x14ac:dyDescent="0.3">
      <c r="A1" s="99" t="s">
        <v>181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1"/>
    </row>
    <row r="2" spans="1:36" ht="7.35" customHeight="1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"/>
    </row>
    <row r="3" spans="1:36" ht="18" customHeight="1" x14ac:dyDescent="0.25">
      <c r="A3" s="101" t="s">
        <v>0</v>
      </c>
      <c r="B3" s="101"/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3" t="s">
        <v>1</v>
      </c>
      <c r="R3" s="103"/>
      <c r="S3" s="103"/>
      <c r="T3" s="103"/>
      <c r="U3" s="103"/>
      <c r="V3" s="104"/>
      <c r="W3" s="104"/>
      <c r="X3" s="104"/>
      <c r="Y3" s="104"/>
      <c r="Z3" s="104"/>
      <c r="AA3" s="1"/>
    </row>
    <row r="4" spans="1:36" ht="7.35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1"/>
    </row>
    <row r="5" spans="1:36" ht="18" customHeight="1" x14ac:dyDescent="0.25">
      <c r="A5" s="101" t="s">
        <v>2</v>
      </c>
      <c r="B5" s="101"/>
      <c r="C5" s="101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3" t="s">
        <v>3</v>
      </c>
      <c r="R5" s="103"/>
      <c r="S5" s="103"/>
      <c r="T5" s="103"/>
      <c r="U5" s="103"/>
      <c r="V5" s="104"/>
      <c r="W5" s="104"/>
      <c r="X5" s="104"/>
      <c r="Y5" s="104"/>
      <c r="Z5" s="104"/>
      <c r="AA5" s="1"/>
    </row>
    <row r="6" spans="1:36" ht="7.35" customHeight="1" x14ac:dyDescent="0.25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"/>
    </row>
    <row r="7" spans="1:36" ht="18" customHeight="1" x14ac:dyDescent="0.25">
      <c r="A7" s="70" t="s">
        <v>168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1"/>
    </row>
    <row r="8" spans="1:36" ht="7.35" customHeight="1" x14ac:dyDescent="0.25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1"/>
    </row>
    <row r="9" spans="1:36" ht="36" customHeight="1" x14ac:dyDescent="0.25">
      <c r="A9" s="74"/>
      <c r="B9" s="26" t="s">
        <v>48</v>
      </c>
      <c r="C9" s="74" t="s">
        <v>151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243"/>
      <c r="Q9" s="243"/>
      <c r="R9" s="248"/>
      <c r="S9" s="75"/>
      <c r="T9" s="75"/>
      <c r="U9" s="75"/>
      <c r="V9" s="75"/>
      <c r="W9" s="75"/>
      <c r="X9" s="75"/>
      <c r="Y9" s="73" t="s">
        <v>46</v>
      </c>
      <c r="Z9" s="74"/>
      <c r="AA9" s="1"/>
    </row>
    <row r="10" spans="1:36" ht="36" customHeight="1" x14ac:dyDescent="0.25">
      <c r="A10" s="74"/>
      <c r="B10" s="26" t="s">
        <v>47</v>
      </c>
      <c r="C10" s="71" t="s">
        <v>152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243"/>
      <c r="Q10" s="243"/>
      <c r="R10" s="248"/>
      <c r="S10" s="83"/>
      <c r="T10" s="83"/>
      <c r="U10" s="83"/>
      <c r="V10" s="83"/>
      <c r="W10" s="83"/>
      <c r="X10" s="83"/>
      <c r="Y10" s="73"/>
      <c r="Z10" s="74"/>
      <c r="AA10" s="1"/>
    </row>
    <row r="11" spans="1:36" ht="36" customHeight="1" x14ac:dyDescent="0.25">
      <c r="A11" s="74"/>
      <c r="B11" s="26" t="s">
        <v>45</v>
      </c>
      <c r="C11" s="74" t="s">
        <v>153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243"/>
      <c r="Q11" s="243"/>
      <c r="R11" s="248"/>
      <c r="S11" s="191"/>
      <c r="T11" s="192"/>
      <c r="U11" s="192"/>
      <c r="V11" s="192"/>
      <c r="W11" s="192"/>
      <c r="X11" s="193"/>
      <c r="Y11" s="73" t="s">
        <v>86</v>
      </c>
      <c r="Z11" s="74"/>
      <c r="AA11" s="1"/>
    </row>
    <row r="12" spans="1:36" ht="7.35" customHeight="1" x14ac:dyDescent="0.25">
      <c r="A12" s="74" t="s">
        <v>154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1"/>
      <c r="AB12" s="36"/>
      <c r="AC12" s="36"/>
      <c r="AD12" s="36"/>
      <c r="AE12" s="36"/>
      <c r="AF12" s="36"/>
      <c r="AG12" s="36"/>
      <c r="AH12" s="36"/>
      <c r="AI12" s="36"/>
      <c r="AJ12" s="36"/>
    </row>
    <row r="13" spans="1:36" ht="18" customHeight="1" x14ac:dyDescent="0.25">
      <c r="A13" s="70" t="s">
        <v>87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1"/>
      <c r="AB13" s="36"/>
      <c r="AC13" s="36"/>
      <c r="AD13" s="36"/>
      <c r="AE13" s="36"/>
      <c r="AF13" s="36"/>
      <c r="AG13" s="36"/>
      <c r="AH13" s="36"/>
      <c r="AI13" s="36"/>
      <c r="AJ13" s="36"/>
    </row>
    <row r="14" spans="1:36" ht="7.35" customHeight="1" thickBot="1" x14ac:dyDescent="0.3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1"/>
      <c r="AB14" s="36"/>
      <c r="AC14" s="36"/>
      <c r="AD14" s="36"/>
      <c r="AE14" s="36"/>
      <c r="AF14" s="36"/>
      <c r="AG14" s="36"/>
      <c r="AH14" s="36"/>
      <c r="AI14" s="36"/>
      <c r="AJ14" s="36"/>
    </row>
    <row r="15" spans="1:36" ht="36" customHeight="1" thickBot="1" x14ac:dyDescent="0.3">
      <c r="A15" s="27"/>
      <c r="B15" s="26" t="s">
        <v>44</v>
      </c>
      <c r="C15" s="71" t="s">
        <v>155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243"/>
      <c r="Q15" s="243"/>
      <c r="R15" s="244"/>
      <c r="S15" s="245" t="str">
        <f>IFERROR(IF(S11="","",IF(OR(S10&lt;50,S10&gt;99),"CN Out of Range",IF((S11/S9)&gt;0.3,"Release too high",S9*IF(S11/S9=0.3,AD29,IF(S11/S9&gt;=0.25,AD30+(AD29-AD30)*((0.3-S11/S9)/(0.05)),IF(S11/S9&gt;=0.2,AD30+(AD29-AD30)*((0.25-S11/S9)/(0.05)),IF(S11/S9&gt;=0.15,AD30+(AD29-AD30)*((0.2-S11/S9)/(0.05)),IF(S11/S9&gt;=0.1,AD30+(AD29-AD30)*((0.15-S11/S9)/(0.05)),IF(S11/S9&gt;=0.05,AD30+(AD29-AD30)*((0.1-S11/S9)/(0.05)),IF(S11/S9&gt;=0,AD30+(AD29-AD30)*((0.05-S11/S9-0)/(0.05)))))))))))),"")</f>
        <v/>
      </c>
      <c r="T15" s="246"/>
      <c r="U15" s="246"/>
      <c r="V15" s="246"/>
      <c r="W15" s="246"/>
      <c r="X15" s="247"/>
      <c r="Y15" s="87" t="s">
        <v>27</v>
      </c>
      <c r="Z15" s="74"/>
      <c r="AA15" s="1"/>
      <c r="AB15" s="36"/>
      <c r="AC15" s="36"/>
      <c r="AD15" s="36"/>
      <c r="AE15" s="36"/>
      <c r="AF15" s="36"/>
      <c r="AG15" s="36"/>
      <c r="AH15" s="36"/>
      <c r="AI15" s="36"/>
      <c r="AJ15" s="36"/>
    </row>
    <row r="16" spans="1:36" ht="7.35" customHeight="1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1"/>
      <c r="AB16" s="36"/>
      <c r="AC16" s="36"/>
      <c r="AD16" s="36"/>
      <c r="AE16" s="36"/>
      <c r="AF16" s="36"/>
      <c r="AG16" s="36"/>
      <c r="AH16" s="36"/>
      <c r="AI16" s="36"/>
      <c r="AJ16" s="36"/>
    </row>
    <row r="17" spans="1:36" ht="18" customHeight="1" x14ac:dyDescent="0.25">
      <c r="A17" s="70" t="s">
        <v>156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1"/>
      <c r="AB17" s="36"/>
      <c r="AC17" s="36"/>
      <c r="AD17" s="36"/>
      <c r="AE17" s="36"/>
      <c r="AF17" s="36"/>
      <c r="AG17" s="36"/>
      <c r="AH17" s="36"/>
      <c r="AI17" s="36"/>
      <c r="AJ17" s="36"/>
    </row>
    <row r="18" spans="1:36" ht="7.35" customHeight="1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1"/>
      <c r="AB18" s="36"/>
      <c r="AC18" s="36"/>
      <c r="AD18" s="36"/>
      <c r="AE18" s="36"/>
      <c r="AF18" s="36"/>
      <c r="AG18" s="36"/>
      <c r="AH18" s="36"/>
      <c r="AI18" s="36"/>
      <c r="AJ18" s="36"/>
    </row>
    <row r="19" spans="1:36" ht="32.25" customHeight="1" x14ac:dyDescent="0.25">
      <c r="A19" s="252"/>
      <c r="B19" s="252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2"/>
      <c r="Z19" s="252"/>
      <c r="AA19" s="1"/>
      <c r="AB19" s="37"/>
      <c r="AC19" s="37"/>
      <c r="AD19" s="37"/>
      <c r="AE19" s="37"/>
      <c r="AF19" s="37"/>
      <c r="AG19" s="37"/>
      <c r="AH19" s="37"/>
      <c r="AI19" s="37"/>
      <c r="AJ19" s="36"/>
    </row>
    <row r="20" spans="1:36" ht="11.45" customHeight="1" x14ac:dyDescent="0.25">
      <c r="A20" s="252"/>
      <c r="B20" s="252"/>
      <c r="C20" s="254"/>
      <c r="D20" s="254"/>
      <c r="E20" s="255"/>
      <c r="F20" s="255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5"/>
      <c r="T20" s="255"/>
      <c r="U20" s="255"/>
      <c r="V20" s="255"/>
      <c r="W20" s="255"/>
      <c r="X20" s="255"/>
      <c r="Y20" s="32" t="str">
        <f>IF($S20=$S$15,"←","")</f>
        <v>←</v>
      </c>
      <c r="Z20" s="252"/>
      <c r="AA20" s="1"/>
      <c r="AB20" s="38" t="s">
        <v>157</v>
      </c>
      <c r="AC20" s="39">
        <v>0.3</v>
      </c>
      <c r="AD20" s="39">
        <v>0.25</v>
      </c>
      <c r="AE20" s="39">
        <v>0.2</v>
      </c>
      <c r="AF20" s="40">
        <v>0.15</v>
      </c>
      <c r="AG20" s="39">
        <v>0.1</v>
      </c>
      <c r="AH20" s="40">
        <v>0.05</v>
      </c>
      <c r="AI20" s="39">
        <v>0</v>
      </c>
      <c r="AJ20" s="36"/>
    </row>
    <row r="21" spans="1:36" ht="11.45" customHeight="1" x14ac:dyDescent="0.25">
      <c r="A21" s="252"/>
      <c r="B21" s="252"/>
      <c r="C21" s="254"/>
      <c r="D21" s="254"/>
      <c r="E21" s="255"/>
      <c r="F21" s="255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5"/>
      <c r="T21" s="255"/>
      <c r="U21" s="255"/>
      <c r="V21" s="255"/>
      <c r="W21" s="255"/>
      <c r="X21" s="255"/>
      <c r="Y21" s="32" t="str">
        <f t="shared" ref="Y21:Y41" si="0">IF($S21=$S$15,"←","")</f>
        <v>←</v>
      </c>
      <c r="Z21" s="252"/>
      <c r="AA21" s="1"/>
      <c r="AB21" s="41" t="s">
        <v>17</v>
      </c>
      <c r="AC21" s="41" t="s">
        <v>158</v>
      </c>
      <c r="AD21" s="41" t="s">
        <v>158</v>
      </c>
      <c r="AE21" s="41" t="s">
        <v>158</v>
      </c>
      <c r="AF21" s="41" t="s">
        <v>158</v>
      </c>
      <c r="AG21" s="41" t="s">
        <v>158</v>
      </c>
      <c r="AH21" s="41" t="s">
        <v>158</v>
      </c>
      <c r="AI21" s="41" t="s">
        <v>158</v>
      </c>
      <c r="AJ21" s="36"/>
    </row>
    <row r="22" spans="1:36" ht="11.45" customHeight="1" x14ac:dyDescent="0.25">
      <c r="A22" s="252"/>
      <c r="B22" s="252"/>
      <c r="C22" s="254"/>
      <c r="D22" s="254"/>
      <c r="E22" s="255"/>
      <c r="F22" s="255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5"/>
      <c r="T22" s="255"/>
      <c r="U22" s="255"/>
      <c r="V22" s="255"/>
      <c r="W22" s="255"/>
      <c r="X22" s="255"/>
      <c r="Y22" s="32" t="str">
        <f t="shared" si="0"/>
        <v>←</v>
      </c>
      <c r="Z22" s="252"/>
      <c r="AA22" s="1"/>
      <c r="AB22" s="42">
        <v>50</v>
      </c>
      <c r="AC22" s="43">
        <v>9.0600000000000003E-3</v>
      </c>
      <c r="AD22" s="43">
        <v>2.3980000000000001E-2</v>
      </c>
      <c r="AE22" s="43">
        <v>4.206E-2</v>
      </c>
      <c r="AF22" s="43">
        <v>6.2439999999999996E-2</v>
      </c>
      <c r="AG22" s="43">
        <v>8.7400000000000005E-2</v>
      </c>
      <c r="AH22" s="43">
        <v>0.12878000000000001</v>
      </c>
      <c r="AI22" s="43">
        <v>0.16655999999999999</v>
      </c>
      <c r="AJ22" s="36"/>
    </row>
    <row r="23" spans="1:36" ht="11.45" customHeight="1" x14ac:dyDescent="0.25">
      <c r="A23" s="252"/>
      <c r="B23" s="252"/>
      <c r="C23" s="254"/>
      <c r="D23" s="254"/>
      <c r="E23" s="255"/>
      <c r="F23" s="255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5"/>
      <c r="T23" s="255"/>
      <c r="U23" s="255"/>
      <c r="V23" s="255"/>
      <c r="W23" s="255"/>
      <c r="X23" s="255"/>
      <c r="Y23" s="32" t="str">
        <f t="shared" si="0"/>
        <v>←</v>
      </c>
      <c r="Z23" s="252"/>
      <c r="AA23" s="1"/>
      <c r="AB23" s="42">
        <v>60</v>
      </c>
      <c r="AC23" s="43">
        <v>5.9340000000000004E-2</v>
      </c>
      <c r="AD23" s="43">
        <v>7.9320000000000002E-2</v>
      </c>
      <c r="AE23" s="43">
        <v>0.10267999999999999</v>
      </c>
      <c r="AF23" s="43">
        <v>0.12714</v>
      </c>
      <c r="AG23" s="43">
        <v>0.16636000000000001</v>
      </c>
      <c r="AH23" s="43">
        <v>0.21085999999999999</v>
      </c>
      <c r="AI23" s="43">
        <v>0.25184000000000001</v>
      </c>
      <c r="AJ23" s="36"/>
    </row>
    <row r="24" spans="1:36" ht="11.45" customHeight="1" x14ac:dyDescent="0.25">
      <c r="A24" s="252"/>
      <c r="B24" s="252"/>
      <c r="C24" s="254"/>
      <c r="D24" s="254"/>
      <c r="E24" s="255"/>
      <c r="F24" s="255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5"/>
      <c r="T24" s="255"/>
      <c r="U24" s="255"/>
      <c r="V24" s="255"/>
      <c r="W24" s="255"/>
      <c r="X24" s="255"/>
      <c r="Y24" s="32" t="str">
        <f t="shared" si="0"/>
        <v>←</v>
      </c>
      <c r="Z24" s="252"/>
      <c r="AA24" s="1"/>
      <c r="AB24" s="42">
        <v>70</v>
      </c>
      <c r="AC24" s="43">
        <v>0.11726</v>
      </c>
      <c r="AD24" s="43">
        <v>0.14348</v>
      </c>
      <c r="AE24" s="43">
        <v>0.16974</v>
      </c>
      <c r="AF24" s="43">
        <v>0.20316000000000001</v>
      </c>
      <c r="AG24" s="43">
        <v>0.25065999999999999</v>
      </c>
      <c r="AH24" s="43">
        <v>0.29752000000000001</v>
      </c>
      <c r="AI24" s="43">
        <v>0.34214</v>
      </c>
      <c r="AJ24" s="36"/>
    </row>
    <row r="25" spans="1:36" ht="11.45" customHeight="1" x14ac:dyDescent="0.25">
      <c r="A25" s="252"/>
      <c r="B25" s="252"/>
      <c r="C25" s="254"/>
      <c r="D25" s="254"/>
      <c r="E25" s="255"/>
      <c r="F25" s="255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5"/>
      <c r="T25" s="255"/>
      <c r="U25" s="255"/>
      <c r="V25" s="255"/>
      <c r="W25" s="255"/>
      <c r="X25" s="255"/>
      <c r="Y25" s="32" t="str">
        <f t="shared" si="0"/>
        <v>←</v>
      </c>
      <c r="Z25" s="252"/>
      <c r="AA25" s="1"/>
      <c r="AB25" s="42">
        <v>80</v>
      </c>
      <c r="AC25" s="43">
        <v>0.18153999999999998</v>
      </c>
      <c r="AD25" s="43">
        <v>0.21078000000000002</v>
      </c>
      <c r="AE25" s="43">
        <v>0.2427</v>
      </c>
      <c r="AF25" s="43">
        <v>0.28461999999999998</v>
      </c>
      <c r="AG25" s="43">
        <v>0.33723999999999998</v>
      </c>
      <c r="AH25" s="43">
        <v>0.38706000000000002</v>
      </c>
      <c r="AI25" s="43">
        <v>0.43604000000000004</v>
      </c>
      <c r="AJ25" s="36"/>
    </row>
    <row r="26" spans="1:36" ht="11.45" customHeight="1" x14ac:dyDescent="0.25">
      <c r="A26" s="252"/>
      <c r="B26" s="252"/>
      <c r="C26" s="254"/>
      <c r="D26" s="254"/>
      <c r="E26" s="255"/>
      <c r="F26" s="255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5"/>
      <c r="T26" s="255"/>
      <c r="U26" s="255"/>
      <c r="V26" s="255"/>
      <c r="W26" s="255"/>
      <c r="X26" s="255"/>
      <c r="Y26" s="32" t="str">
        <f t="shared" si="0"/>
        <v>←</v>
      </c>
      <c r="Z26" s="252"/>
      <c r="AA26" s="1"/>
      <c r="AB26" s="42">
        <v>90</v>
      </c>
      <c r="AC26" s="43">
        <v>0.2447</v>
      </c>
      <c r="AD26" s="43">
        <v>0.27871999999999997</v>
      </c>
      <c r="AE26" s="43">
        <v>0.31694</v>
      </c>
      <c r="AF26" s="43">
        <v>0.36636000000000002</v>
      </c>
      <c r="AG26" s="43">
        <v>0.42447999999999997</v>
      </c>
      <c r="AH26" s="43">
        <v>0.47892000000000001</v>
      </c>
      <c r="AI26" s="43">
        <v>0.53269999999999995</v>
      </c>
      <c r="AJ26" s="36"/>
    </row>
    <row r="27" spans="1:36" ht="11.45" customHeight="1" x14ac:dyDescent="0.25">
      <c r="A27" s="252"/>
      <c r="B27" s="252"/>
      <c r="C27" s="254"/>
      <c r="D27" s="254"/>
      <c r="E27" s="254"/>
      <c r="F27" s="254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5"/>
      <c r="T27" s="255"/>
      <c r="U27" s="255"/>
      <c r="V27" s="255"/>
      <c r="W27" s="255"/>
      <c r="X27" s="255"/>
      <c r="Y27" s="32" t="str">
        <f t="shared" si="0"/>
        <v>←</v>
      </c>
      <c r="Z27" s="252"/>
      <c r="AA27" s="1"/>
      <c r="AB27" s="42">
        <v>99</v>
      </c>
      <c r="AC27" s="43">
        <v>0.29178000000000004</v>
      </c>
      <c r="AD27" s="43">
        <v>0.33282</v>
      </c>
      <c r="AE27" s="43">
        <v>0.37846000000000002</v>
      </c>
      <c r="AF27" s="43">
        <v>0.43575999999999998</v>
      </c>
      <c r="AG27" s="43">
        <v>0.50035999999999992</v>
      </c>
      <c r="AH27" s="43">
        <v>0.56130000000000002</v>
      </c>
      <c r="AI27" s="43">
        <v>0.62168000000000001</v>
      </c>
      <c r="AJ27" s="36"/>
    </row>
    <row r="28" spans="1:36" ht="11.45" customHeight="1" x14ac:dyDescent="0.25">
      <c r="A28" s="252"/>
      <c r="B28" s="252"/>
      <c r="C28" s="257"/>
      <c r="D28" s="257"/>
      <c r="E28" s="254"/>
      <c r="F28" s="254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5"/>
      <c r="T28" s="255"/>
      <c r="U28" s="255"/>
      <c r="V28" s="255"/>
      <c r="W28" s="255"/>
      <c r="X28" s="255"/>
      <c r="Y28" s="32" t="str">
        <f t="shared" si="0"/>
        <v>←</v>
      </c>
      <c r="Z28" s="252"/>
      <c r="AA28" s="1"/>
      <c r="AB28" s="37"/>
      <c r="AC28" s="37"/>
      <c r="AD28" s="37" t="e">
        <f>IF(S11/S9=0.3,AD29,IF(S11/S9&gt;=0.25,AD30+(AD29-AD30)*((0.3-S11/S9)/(0.05)),IF(S11/S9&gt;=0.2,AD30+(AD29-AD30)*((0.25-S11/S9)/(0.05)),IF(S11/S9&gt;=0.15,AD30+(AD29-AD30)*((0.2-S11/S9)/(0.05)),IF(S11/S9&gt;=0.1,AD30+(AD29-AD30)*((0.15-S11/S9)/(0.05)),IF(S11/S9&gt;=0.05,AD30+(AD29-AD30)*((0.1-S11/S9)/(0.05)),IF(S11/S9&gt;=0,AD30+(AD29-AD30)*((0.05-S11/S9-0)/(0.05)))))))))</f>
        <v>#DIV/0!</v>
      </c>
      <c r="AE28" s="37"/>
      <c r="AF28" s="37"/>
      <c r="AG28" s="37"/>
      <c r="AH28" s="37"/>
      <c r="AI28" s="37"/>
      <c r="AJ28" s="36"/>
    </row>
    <row r="29" spans="1:36" ht="11.45" customHeight="1" x14ac:dyDescent="0.25">
      <c r="A29" s="252"/>
      <c r="B29" s="252"/>
      <c r="C29" s="254"/>
      <c r="D29" s="254"/>
      <c r="E29" s="254"/>
      <c r="F29" s="254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5"/>
      <c r="T29" s="255"/>
      <c r="U29" s="255"/>
      <c r="V29" s="255"/>
      <c r="W29" s="255"/>
      <c r="X29" s="255"/>
      <c r="Y29" s="32" t="str">
        <f t="shared" si="0"/>
        <v>←</v>
      </c>
      <c r="Z29" s="252"/>
      <c r="AB29" s="37"/>
      <c r="AC29" s="37" t="s">
        <v>159</v>
      </c>
      <c r="AD29" s="37" t="e">
        <f>IF(S11/S9=0.3,IF(S10=99,AC27,IF(AND(90&lt;=S10,S10&lt;99),AC26+(AC27-AC26)*((S10-90)/(99-90)),IF(AND(80&lt;=S10,S10&lt;90),AC25+(AC26-AC25)*((S10-80)/(90-80)),IF(AND(70&lt;=S10,S10&lt;80),AC24+(AC25-AC24)*((S10-70)/(80-70)),IF(AND(60&lt;=S10,S10&lt;70),AC23+(AC24-AC23)*((S10-60)/(70-60)),IF(AND(50&lt;=S10,S10&lt;60),AC22+(AC23-AC22)*((S10-50)/(60-50)),"ERROR")))))),
IF(AND(0.3&gt;S11/S9,S11/S9&gt;=0.25),IF(S10=99,AD27,IF(AND(90&lt;=S10,S10&lt;99),AD26+(AD27-AD26)*((S10-90)/(99-90)),IF(AND(80&lt;=S10,S10&lt;90),AD25+(AD26-AD25)*((S10-80)/(90-80)),IF(AND(70&lt;=S10,S10&lt;80),AD24+(AD25-AD24)*((S10-70)/(80-70)),IF(AND(60&lt;=S10,S10&lt;70),AD23+(AD24-AD23)*((S10-60)/(70-60)),IF(AND(50&lt;=S10,S10&lt;60),AD22+(AD23-AD22)*((S10-50)/(60-50)),"ERROR")))))),
IF(AND(0.25&gt;S11/S9,S11/S9&gt;=0.2),IF(S10=99,AE27,IF(AND(90&lt;=S10,S10&lt;99),AE26+(AE27-AE26)*((S10-90)/(99-90)),IF(AND(80&lt;=S10,S10&lt;90),AE25+(AE26-AE25)*((S10-80)/(90-80)),IF(AND(70&lt;=S10,S10&lt;80),AE24+(AE25-AE24)*((S10-70)/(80-70)),IF(AND(60&lt;=S10,S10&lt;70),AE23+(AE24-AE23)*((S10-60)/(70-60)),IF(AND(50&lt;=S10,S10&lt;60),AE22+(AE23-AE22)*((S10-50)/(60-50)),"ERROR")))))),
IF(AND(0.2&gt;S11/S9,S11/S9&gt;=0.15),IF(S10=99,AF27,IF(AND(90&lt;=S10,S10&lt;99),AF26+(AF27-AF26)*((S10-90)/(99-90)),IF(AND(80&lt;=S10,S10&lt;90),AF25+(AF26-AF25)*((S10-80)/(90-80)),IF(AND(70&lt;=S10,S10&lt;80),AF24+(AF25-AF24)*((S10-70)/(80-70)),IF(AND(60&lt;=S10,S10&lt;70),AF23+(AF24-AF23)*((S10-60)/(70-60)),IF(AND(50&lt;=S10,S10&lt;60),AF22+(AF23-AF22)*((S10-50)/(60-50)),"ERROR")))))),
IF(AND(0.15&gt;S11/S9,S11/S9&gt;=0.1),IF(S10=99,AG27,IF(AND(90&lt;=S10,S10&lt;99),AG26+(AG27-AG26)*((S10-90)/(99-90)),IF(AND(80&lt;=S10,S10&lt;90),AG25+(AG26-AG25)*((S10-80)/(90-80)),IF(AND(70&lt;=S10,S10&lt;80),AG24+(AG25-AG24)*((S10-70)/(80-70)),IF(AND(60&lt;=S10,S10&lt;70),AG23+(AG24-AG23)*((S10-60)/(70-60)),IF(AND(50&lt;=S10,S10&lt;60),AG22+(AG23-AG22)*((S10-50)/(60-50)),"ERROR")))))),
IF(AND(0.1&gt;S11/S9,S11/S9&gt;=0.05),IF(S10=99,AH27,IF(AND(90&lt;=S10,S10&lt;99),AH26+(AH27-AH26)*((S10-90)/(99-90)),IF(AND(80&lt;=S10,S10&lt;90),AH25+(AH26-AH25)*((S10-80)/(90-80)),IF(AND(70&lt;=S10,S10&lt;80),AH24+(AH25-AH24)*((S10-70)/(80-70)),IF(AND(60&lt;=S10,S10&lt;70),AH23+(AH24-AH23)*((S10-60)/(70-60)),IF(AND(50&lt;=S10,S10&lt;60),AH22+(AH23-AH22)*((S10-50)/(60-50)),"ERROR")))))),
IF(AND(0.05&gt;S11/S9,S11/S9&gt;=0),IF(S10=99,AI27,IF(AND(90&lt;=S10,S10&lt;99),AI26+(AI27-AI26)*((S10-90)/(99-90)),IF(AND(80&lt;=S10,S10&lt;90),AI25+(AI26-AI25)*((S10-80)/(90-80)),IF(AND(70&lt;=S10,S10&lt;80),AI24+(AI25-AI24)*((S10-70)/(80-70)),IF(AND(60&lt;=S10,S10&lt;70),AI23+(AI24-AI23)*((S10-60)/(70-60)),IF(AND(50&lt;=S10,S10&lt;60),AI22+(AI23-AI22)*((S10-50)/(60-50)),"ERROR")))))))))))))</f>
        <v>#DIV/0!</v>
      </c>
      <c r="AE29" s="37">
        <v>0</v>
      </c>
      <c r="AF29" s="37"/>
      <c r="AG29" s="37"/>
      <c r="AH29" s="37"/>
      <c r="AI29" s="37"/>
      <c r="AJ29" s="36"/>
    </row>
    <row r="30" spans="1:36" ht="11.45" customHeight="1" x14ac:dyDescent="0.25">
      <c r="A30" s="252"/>
      <c r="B30" s="252"/>
      <c r="C30" s="254"/>
      <c r="D30" s="254"/>
      <c r="E30" s="254"/>
      <c r="F30" s="254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5"/>
      <c r="T30" s="255"/>
      <c r="U30" s="255"/>
      <c r="V30" s="255"/>
      <c r="W30" s="255"/>
      <c r="X30" s="255"/>
      <c r="Y30" s="32" t="str">
        <f t="shared" si="0"/>
        <v>←</v>
      </c>
      <c r="Z30" s="252"/>
      <c r="AB30" s="37"/>
      <c r="AC30" s="37" t="s">
        <v>160</v>
      </c>
      <c r="AD30" s="37" t="e">
        <f>IF(S11/S9=0.3,IF(S10=99,AC27,IF(AND(90&lt;=S10,S10&lt;99),AC26+(AC27-AC26)*((S10-90)/(99-90)),IF(AND(80&lt;=S10,S10&lt;90),AC25+(AC26-AC25)*((S10-80)/(90-80)),IF(AND(70&lt;=S10,S10&lt;80),AC24+(AC25-AC24)*((S10-70)/(80-70)),IF(AND(60&lt;=S10,S10&lt;70),AC23+(AC24-AC23)*((S10-60)/(70-60)),IF(AND(50&lt;=S10,S10&lt;60),AC22+(AC23-AC22)*((S10-50)/(60-50)),"ERROR")))))),
IF(AND(0.3&gt;S11/S9,S11/S9&gt;=0.25),IF(S10=99,AC27,IF(AND(90&lt;=S10,S10&lt;99),AC26+(AC27-AC26)*((S10-90)/(99-90)),IF(AND(80&lt;=S10,S10&lt;90),AC25+(AC26-AC25)*((S10-80)/(90-80)),IF(AND(70&lt;=S10,S10&lt;80),AC24+(AC25-AC24)*((S10-70)/(80-70)),IF(AND(60&lt;=S10,S10&lt;70),AC23+(AC24-AC23)*((S10-60)/(70-60)),IF(AND(50&lt;=S10,S10&lt;60),AC22+(AC23-AC22)*((S10-50)/(60-50)),"ERROR")))))),
IF(AND(0.25&gt;S11/S9,S11/S9&gt;=0.2),IF(S10=99,AD27,IF(AND(90&lt;=S10,S10&lt;99),AD26+(AD27-AD26)*((S10-90)/(99-90)),IF(AND(80&lt;=S10,S10&lt;90),AD25+(AD26-AD25)*((S10-80)/(90-80)),IF(AND(70&lt;=S10,S10&lt;80),AD24+(AD25-AD24)*((S10-70)/(80-70)),IF(AND(60&lt;=S10,S10&lt;70),AD23+(AD24-AD23)*((S10-60)/(70-60)),IF(AND(50&lt;=S10,S10&lt;60),AD22+(AD23-AD22)*((S10-50)/(60-50)),"ERROR")))))),
IF(AND(0.2&gt;S11/S9,S11/S9&gt;=0.15),IF(S10=99,AE27,IF(AND(90&lt;=S10,S10&lt;99),AE26+(AE27-AE26)*((S10-90)/(99-90)),IF(AND(80&lt;=S10,S10&lt;90),AE25+(AE26-AE25)*((S10-80)/(90-80)),IF(AND(70&lt;=S10,S10&lt;80),AE24+(AE25-AE24)*((S10-70)/(80-70)),IF(AND(60&lt;=S10,S10&lt;70),AE23+(AE24-AE23)*((S10-60)/(70-60)),IF(AND(50&lt;=S10,S10&lt;60),AE22+(AE23-AE22)*((S10-50)/(60-50)),"ERROR")))))),
IF(AND(0.15&gt;S11/S9,S11/S9&gt;=0.1),IF(S10=99,AF27,IF(AND(90&lt;=S10,S10&lt;99),AF26+(AF27-AF26)*((S10-90)/(99-90)),IF(AND(80&lt;=S10,S10&lt;90),AF25+(AF26-AF25)*((S10-80)/(90-80)),IF(AND(70&lt;=S10,S10&lt;80),AF24+(AF25-AF24)*((S10-70)/(80-70)),IF(AND(60&lt;=S10,S10&lt;70),AF23+(AF24-AF23)*((S10-60)/(70-60)),IF(AND(50&lt;=S10,S10&lt;60),AF22+(AF23-AF22)*((S10-50)/(60-50)),"ERROR")))))),
IF(AND(0.1&gt;S11/S9,S11/S9&gt;=0.05),IF(S10=99,AG27,IF(AND(90&lt;=S10,S10&lt;99),AG26+(AG27-AG26)*((S10-90)/(99-90)),IF(AND(80&lt;=S10,S10&lt;90),AG25+(AG26-AG25)*((S10-80)/(90-80)),IF(AND(70&lt;=S10,S10&lt;80),AG24+(AG25-AG24)*((S10-70)/(80-70)),IF(AND(60&lt;=S10,S10&lt;70),AG23+(AG24-AG23)*((S10-60)/(70-60)),IF(AND(50&lt;=S10,S10&lt;60),AG22+(AG23-AG22)*((S10-50)/(60-50)),"ERROR")))))),
IF(AND(0.05&gt;S11/S9,S11/S9&gt;=0),IF(S10=99,AH27,IF(AND(90&lt;=S10,S10&lt;99),AH26+(AH27-AH26)*((S10-90)/(99-90)),IF(AND(80&lt;=S10,S10&lt;90),AH25+(AH26-AH25)*((S10-80)/(90-80)),IF(AND(70&lt;=S10,S10&lt;80),AH24+(AH25-AH24)*((S10-70)/(80-70)),IF(AND(60&lt;=S10,S10&lt;70),AH23+(AH24-AH23)*((S10-60)/(70-60)),IF(AND(50&lt;=S10,S10&lt;60),AH22+(AH23-AH22)*((S10-50)/(60-50)),"ERROR")))))))))))))</f>
        <v>#DIV/0!</v>
      </c>
      <c r="AE30" s="37"/>
      <c r="AF30" s="37"/>
      <c r="AG30" s="37"/>
      <c r="AH30" s="37"/>
      <c r="AI30" s="37"/>
      <c r="AJ30" s="36"/>
    </row>
    <row r="31" spans="1:36" ht="11.45" customHeight="1" x14ac:dyDescent="0.25">
      <c r="A31" s="252"/>
      <c r="B31" s="252"/>
      <c r="C31" s="254"/>
      <c r="D31" s="254"/>
      <c r="E31" s="254"/>
      <c r="F31" s="254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5"/>
      <c r="T31" s="255"/>
      <c r="U31" s="255"/>
      <c r="V31" s="255"/>
      <c r="W31" s="255"/>
      <c r="X31" s="255"/>
      <c r="Y31" s="32" t="str">
        <f t="shared" si="0"/>
        <v>←</v>
      </c>
      <c r="Z31" s="252"/>
      <c r="AB31" s="37"/>
      <c r="AC31" s="37"/>
      <c r="AD31" s="37"/>
      <c r="AE31" s="37"/>
      <c r="AF31" s="37"/>
      <c r="AG31" s="37"/>
      <c r="AH31" s="37"/>
      <c r="AI31" s="37"/>
      <c r="AJ31" s="36"/>
    </row>
    <row r="32" spans="1:36" ht="11.45" customHeight="1" x14ac:dyDescent="0.25">
      <c r="A32" s="252"/>
      <c r="B32" s="252"/>
      <c r="C32" s="254"/>
      <c r="D32" s="254"/>
      <c r="E32" s="254"/>
      <c r="F32" s="254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5"/>
      <c r="T32" s="255"/>
      <c r="U32" s="255"/>
      <c r="V32" s="255"/>
      <c r="W32" s="255"/>
      <c r="X32" s="255"/>
      <c r="Y32" s="32" t="str">
        <f t="shared" si="0"/>
        <v>←</v>
      </c>
      <c r="Z32" s="252"/>
      <c r="AB32" s="36"/>
      <c r="AC32" s="36"/>
      <c r="AD32" s="36"/>
      <c r="AE32" s="36"/>
      <c r="AF32" s="36"/>
      <c r="AG32" s="36"/>
      <c r="AH32" s="36"/>
      <c r="AI32" s="36"/>
      <c r="AJ32" s="36"/>
    </row>
    <row r="33" spans="1:36" ht="11.45" customHeight="1" x14ac:dyDescent="0.25">
      <c r="A33" s="252"/>
      <c r="B33" s="252"/>
      <c r="C33" s="254"/>
      <c r="D33" s="254"/>
      <c r="E33" s="254"/>
      <c r="F33" s="254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5"/>
      <c r="T33" s="255"/>
      <c r="U33" s="255"/>
      <c r="V33" s="255"/>
      <c r="W33" s="255"/>
      <c r="X33" s="255"/>
      <c r="Y33" s="32" t="str">
        <f t="shared" si="0"/>
        <v>←</v>
      </c>
      <c r="Z33" s="252"/>
      <c r="AB33" s="36"/>
      <c r="AC33" s="36"/>
      <c r="AD33" s="36"/>
      <c r="AE33" s="36"/>
      <c r="AF33" s="36"/>
      <c r="AG33" s="36"/>
      <c r="AH33" s="36"/>
      <c r="AI33" s="36"/>
      <c r="AJ33" s="36"/>
    </row>
    <row r="34" spans="1:36" ht="11.45" customHeight="1" x14ac:dyDescent="0.25">
      <c r="A34" s="252"/>
      <c r="B34" s="252"/>
      <c r="C34" s="254"/>
      <c r="D34" s="254"/>
      <c r="E34" s="254"/>
      <c r="F34" s="254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5"/>
      <c r="T34" s="255"/>
      <c r="U34" s="255"/>
      <c r="V34" s="255"/>
      <c r="W34" s="255"/>
      <c r="X34" s="255"/>
      <c r="Y34" s="32" t="str">
        <f t="shared" si="0"/>
        <v>←</v>
      </c>
      <c r="Z34" s="252"/>
      <c r="AB34" s="36"/>
      <c r="AC34" s="36"/>
      <c r="AD34" s="36"/>
      <c r="AE34" s="36"/>
      <c r="AF34" s="36"/>
      <c r="AG34" s="36"/>
      <c r="AH34" s="36"/>
      <c r="AI34" s="36"/>
      <c r="AJ34" s="36"/>
    </row>
    <row r="35" spans="1:36" ht="11.45" customHeight="1" x14ac:dyDescent="0.25">
      <c r="A35" s="252"/>
      <c r="B35" s="252"/>
      <c r="C35" s="254"/>
      <c r="D35" s="254"/>
      <c r="E35" s="254"/>
      <c r="F35" s="254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5"/>
      <c r="T35" s="255"/>
      <c r="U35" s="255"/>
      <c r="V35" s="255"/>
      <c r="W35" s="255"/>
      <c r="X35" s="255"/>
      <c r="Y35" s="32" t="str">
        <f t="shared" si="0"/>
        <v>←</v>
      </c>
      <c r="Z35" s="252"/>
      <c r="AB35" s="36"/>
      <c r="AC35" s="36"/>
      <c r="AD35" s="36"/>
      <c r="AE35" s="36"/>
      <c r="AF35" s="36"/>
      <c r="AG35" s="36"/>
      <c r="AH35" s="36"/>
      <c r="AI35" s="36"/>
      <c r="AJ35" s="36"/>
    </row>
    <row r="36" spans="1:36" ht="11.45" customHeight="1" x14ac:dyDescent="0.25">
      <c r="A36" s="252"/>
      <c r="B36" s="252"/>
      <c r="C36" s="254"/>
      <c r="D36" s="254"/>
      <c r="E36" s="254"/>
      <c r="F36" s="254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5"/>
      <c r="T36" s="255"/>
      <c r="U36" s="255"/>
      <c r="V36" s="255"/>
      <c r="W36" s="255"/>
      <c r="X36" s="255"/>
      <c r="Y36" s="32" t="str">
        <f t="shared" si="0"/>
        <v>←</v>
      </c>
      <c r="Z36" s="252"/>
      <c r="AB36" s="36"/>
      <c r="AC36" s="36"/>
      <c r="AD36" s="36"/>
      <c r="AE36" s="36"/>
      <c r="AF36" s="36"/>
      <c r="AG36" s="36"/>
      <c r="AH36" s="36"/>
      <c r="AI36" s="36"/>
      <c r="AJ36" s="36"/>
    </row>
    <row r="37" spans="1:36" ht="11.45" customHeight="1" x14ac:dyDescent="0.25">
      <c r="A37" s="252"/>
      <c r="B37" s="252"/>
      <c r="C37" s="254"/>
      <c r="D37" s="254"/>
      <c r="E37" s="254"/>
      <c r="F37" s="254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5"/>
      <c r="T37" s="255"/>
      <c r="U37" s="255"/>
      <c r="V37" s="255"/>
      <c r="W37" s="255"/>
      <c r="X37" s="255"/>
      <c r="Y37" s="32" t="str">
        <f t="shared" si="0"/>
        <v>←</v>
      </c>
      <c r="Z37" s="252"/>
      <c r="AB37" s="36"/>
      <c r="AC37" s="36"/>
      <c r="AD37" s="36"/>
      <c r="AE37" s="36"/>
      <c r="AF37" s="36"/>
      <c r="AG37" s="36"/>
      <c r="AH37" s="36"/>
      <c r="AI37" s="36"/>
      <c r="AJ37" s="36"/>
    </row>
    <row r="38" spans="1:36" ht="11.45" customHeight="1" x14ac:dyDescent="0.25">
      <c r="A38" s="252"/>
      <c r="B38" s="252"/>
      <c r="C38" s="254"/>
      <c r="D38" s="254"/>
      <c r="E38" s="254"/>
      <c r="F38" s="254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5"/>
      <c r="T38" s="255"/>
      <c r="U38" s="255"/>
      <c r="V38" s="255"/>
      <c r="W38" s="255"/>
      <c r="X38" s="255"/>
      <c r="Y38" s="32" t="str">
        <f t="shared" si="0"/>
        <v>←</v>
      </c>
      <c r="Z38" s="252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ht="11.45" customHeight="1" x14ac:dyDescent="0.25">
      <c r="A39" s="252"/>
      <c r="B39" s="252"/>
      <c r="C39" s="254"/>
      <c r="D39" s="254"/>
      <c r="E39" s="254"/>
      <c r="F39" s="254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5"/>
      <c r="T39" s="255"/>
      <c r="U39" s="255"/>
      <c r="V39" s="255"/>
      <c r="W39" s="255"/>
      <c r="X39" s="255"/>
      <c r="Y39" s="32" t="str">
        <f t="shared" si="0"/>
        <v>←</v>
      </c>
      <c r="Z39" s="252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ht="11.45" customHeight="1" x14ac:dyDescent="0.25">
      <c r="A40" s="252"/>
      <c r="B40" s="252"/>
      <c r="C40" s="254"/>
      <c r="D40" s="254"/>
      <c r="E40" s="254"/>
      <c r="F40" s="254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5"/>
      <c r="T40" s="255"/>
      <c r="U40" s="255"/>
      <c r="V40" s="255"/>
      <c r="W40" s="255"/>
      <c r="X40" s="255"/>
      <c r="Y40" s="32" t="str">
        <f t="shared" si="0"/>
        <v>←</v>
      </c>
      <c r="Z40" s="252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ht="11.45" customHeight="1" x14ac:dyDescent="0.25">
      <c r="A41" s="252"/>
      <c r="B41" s="252"/>
      <c r="C41" s="254"/>
      <c r="D41" s="254"/>
      <c r="E41" s="254"/>
      <c r="F41" s="254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5"/>
      <c r="T41" s="255"/>
      <c r="U41" s="255"/>
      <c r="V41" s="255"/>
      <c r="W41" s="255"/>
      <c r="X41" s="255"/>
      <c r="Y41" s="32" t="str">
        <f t="shared" si="0"/>
        <v>←</v>
      </c>
      <c r="Z41" s="252"/>
    </row>
    <row r="42" spans="1:36" ht="11.45" customHeight="1" x14ac:dyDescent="0.25">
      <c r="A42" s="252"/>
      <c r="B42" s="252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2"/>
    </row>
    <row r="43" spans="1:36" ht="11.45" customHeight="1" x14ac:dyDescent="0.25">
      <c r="A43" s="252"/>
      <c r="B43" s="252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2"/>
    </row>
    <row r="44" spans="1:36" ht="11.45" customHeight="1" x14ac:dyDescent="0.25">
      <c r="A44" s="252"/>
      <c r="B44" s="252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2"/>
    </row>
    <row r="45" spans="1:36" ht="11.45" customHeight="1" x14ac:dyDescent="0.25">
      <c r="A45" s="252"/>
      <c r="B45" s="252"/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2"/>
    </row>
    <row r="46" spans="1:36" ht="11.45" customHeight="1" x14ac:dyDescent="0.25">
      <c r="A46" s="252"/>
      <c r="B46" s="252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2"/>
    </row>
    <row r="47" spans="1:36" ht="11.45" customHeight="1" x14ac:dyDescent="0.25">
      <c r="A47" s="252"/>
      <c r="B47" s="252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258"/>
      <c r="Y47" s="258"/>
      <c r="Z47" s="252"/>
    </row>
    <row r="48" spans="1:36" ht="11.45" customHeight="1" x14ac:dyDescent="0.25">
      <c r="A48" s="252"/>
      <c r="B48" s="252"/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2"/>
    </row>
    <row r="49" spans="1:26" ht="11.45" customHeight="1" x14ac:dyDescent="0.25">
      <c r="A49" s="252"/>
      <c r="B49" s="252"/>
      <c r="C49" s="258"/>
      <c r="D49" s="258"/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2"/>
    </row>
    <row r="50" spans="1:26" ht="18" customHeight="1" x14ac:dyDescent="0.25">
      <c r="C50" s="18"/>
      <c r="D50" s="18"/>
      <c r="E50" s="18"/>
      <c r="F50" s="18"/>
    </row>
    <row r="51" spans="1:26" ht="18" customHeight="1" x14ac:dyDescent="0.25">
      <c r="C51" s="18"/>
      <c r="D51" s="18"/>
      <c r="E51" s="18"/>
      <c r="F51" s="18"/>
    </row>
  </sheetData>
  <sheetProtection algorithmName="SHA-512" hashValue="VvZo/rIvTt3ekttFjq11Qc000qY+7k9cS8R+Vpe0eR8UZYxHK63zlLMaZ+WW8bz1VYNAOMS7BnYJ8/X4JRgVYQ==" saltValue="BQLvLHlfTnaA03dRztW0+g==" spinCount="100000" sheet="1" selectLockedCells="1"/>
  <mergeCells count="178">
    <mergeCell ref="C42:Y49"/>
    <mergeCell ref="C41:D41"/>
    <mergeCell ref="E41:F41"/>
    <mergeCell ref="G41:J41"/>
    <mergeCell ref="K41:N41"/>
    <mergeCell ref="O41:R41"/>
    <mergeCell ref="S41:X41"/>
    <mergeCell ref="C40:D40"/>
    <mergeCell ref="E40:F40"/>
    <mergeCell ref="G40:J40"/>
    <mergeCell ref="K40:N40"/>
    <mergeCell ref="O40:R40"/>
    <mergeCell ref="S40:X40"/>
    <mergeCell ref="C39:D39"/>
    <mergeCell ref="E39:F39"/>
    <mergeCell ref="G39:J39"/>
    <mergeCell ref="K39:N39"/>
    <mergeCell ref="O39:R39"/>
    <mergeCell ref="S39:X39"/>
    <mergeCell ref="C38:D38"/>
    <mergeCell ref="E38:F38"/>
    <mergeCell ref="G38:J38"/>
    <mergeCell ref="K38:N38"/>
    <mergeCell ref="O38:R38"/>
    <mergeCell ref="S38:X38"/>
    <mergeCell ref="C37:D37"/>
    <mergeCell ref="E37:F37"/>
    <mergeCell ref="G37:J37"/>
    <mergeCell ref="K37:N37"/>
    <mergeCell ref="O37:R37"/>
    <mergeCell ref="S37:X37"/>
    <mergeCell ref="C36:D36"/>
    <mergeCell ref="E36:F36"/>
    <mergeCell ref="G36:J36"/>
    <mergeCell ref="K36:N36"/>
    <mergeCell ref="O36:R36"/>
    <mergeCell ref="S36:X36"/>
    <mergeCell ref="C35:D35"/>
    <mergeCell ref="E35:F35"/>
    <mergeCell ref="G35:J35"/>
    <mergeCell ref="K35:N35"/>
    <mergeCell ref="O35:R35"/>
    <mergeCell ref="S35:X35"/>
    <mergeCell ref="C34:D34"/>
    <mergeCell ref="E34:F34"/>
    <mergeCell ref="G34:J34"/>
    <mergeCell ref="K34:N34"/>
    <mergeCell ref="O34:R34"/>
    <mergeCell ref="S34:X34"/>
    <mergeCell ref="C33:D33"/>
    <mergeCell ref="E33:F33"/>
    <mergeCell ref="G33:J33"/>
    <mergeCell ref="K33:N33"/>
    <mergeCell ref="O33:R33"/>
    <mergeCell ref="S33:X33"/>
    <mergeCell ref="C32:D32"/>
    <mergeCell ref="E32:F32"/>
    <mergeCell ref="G32:J32"/>
    <mergeCell ref="K32:N32"/>
    <mergeCell ref="O32:R32"/>
    <mergeCell ref="S32:X32"/>
    <mergeCell ref="C31:D31"/>
    <mergeCell ref="E31:F31"/>
    <mergeCell ref="G31:J31"/>
    <mergeCell ref="K31:N31"/>
    <mergeCell ref="O31:R31"/>
    <mergeCell ref="S31:X31"/>
    <mergeCell ref="C30:D30"/>
    <mergeCell ref="E30:F30"/>
    <mergeCell ref="G30:J30"/>
    <mergeCell ref="K30:N30"/>
    <mergeCell ref="O30:R30"/>
    <mergeCell ref="S30:X30"/>
    <mergeCell ref="C29:D29"/>
    <mergeCell ref="E29:F29"/>
    <mergeCell ref="G29:J29"/>
    <mergeCell ref="K29:N29"/>
    <mergeCell ref="O29:R29"/>
    <mergeCell ref="S29:X29"/>
    <mergeCell ref="C28:D28"/>
    <mergeCell ref="E28:F28"/>
    <mergeCell ref="G28:J28"/>
    <mergeCell ref="K28:N28"/>
    <mergeCell ref="O28:R28"/>
    <mergeCell ref="S28:X28"/>
    <mergeCell ref="C27:D27"/>
    <mergeCell ref="E27:F27"/>
    <mergeCell ref="G27:J27"/>
    <mergeCell ref="K27:N27"/>
    <mergeCell ref="O27:R27"/>
    <mergeCell ref="S27:X27"/>
    <mergeCell ref="C26:D26"/>
    <mergeCell ref="E26:F26"/>
    <mergeCell ref="G26:J26"/>
    <mergeCell ref="K26:N26"/>
    <mergeCell ref="O26:R26"/>
    <mergeCell ref="S26:X26"/>
    <mergeCell ref="C25:D25"/>
    <mergeCell ref="E25:F25"/>
    <mergeCell ref="G25:J25"/>
    <mergeCell ref="K25:N25"/>
    <mergeCell ref="O25:R25"/>
    <mergeCell ref="S25:X25"/>
    <mergeCell ref="C24:D24"/>
    <mergeCell ref="E24:F24"/>
    <mergeCell ref="G24:J24"/>
    <mergeCell ref="K24:N24"/>
    <mergeCell ref="O24:R24"/>
    <mergeCell ref="S24:X24"/>
    <mergeCell ref="O23:R23"/>
    <mergeCell ref="S23:X23"/>
    <mergeCell ref="S21:X21"/>
    <mergeCell ref="C22:D22"/>
    <mergeCell ref="E22:F22"/>
    <mergeCell ref="G22:J22"/>
    <mergeCell ref="K22:N22"/>
    <mergeCell ref="O22:R22"/>
    <mergeCell ref="S22:X22"/>
    <mergeCell ref="A18:Z18"/>
    <mergeCell ref="A19:B49"/>
    <mergeCell ref="C19:F19"/>
    <mergeCell ref="G19:J19"/>
    <mergeCell ref="K19:N19"/>
    <mergeCell ref="O19:R19"/>
    <mergeCell ref="S19:X19"/>
    <mergeCell ref="Y19:Z19"/>
    <mergeCell ref="C20:D20"/>
    <mergeCell ref="E20:F20"/>
    <mergeCell ref="G20:J20"/>
    <mergeCell ref="K20:N20"/>
    <mergeCell ref="O20:R20"/>
    <mergeCell ref="S20:X20"/>
    <mergeCell ref="Z20:Z49"/>
    <mergeCell ref="C21:D21"/>
    <mergeCell ref="E21:F21"/>
    <mergeCell ref="G21:J21"/>
    <mergeCell ref="K21:N21"/>
    <mergeCell ref="O21:R21"/>
    <mergeCell ref="C23:D23"/>
    <mergeCell ref="E23:F23"/>
    <mergeCell ref="G23:J23"/>
    <mergeCell ref="K23:N23"/>
    <mergeCell ref="C15:O15"/>
    <mergeCell ref="P15:R15"/>
    <mergeCell ref="S15:X15"/>
    <mergeCell ref="Y15:Z15"/>
    <mergeCell ref="A16:Z16"/>
    <mergeCell ref="A17:Z17"/>
    <mergeCell ref="P11:R11"/>
    <mergeCell ref="S11:X11"/>
    <mergeCell ref="Y11:Z11"/>
    <mergeCell ref="A12:Z12"/>
    <mergeCell ref="A13:Z13"/>
    <mergeCell ref="A14:Z14"/>
    <mergeCell ref="A9:A11"/>
    <mergeCell ref="C9:O9"/>
    <mergeCell ref="P9:R9"/>
    <mergeCell ref="S9:X9"/>
    <mergeCell ref="Y9:Z9"/>
    <mergeCell ref="C10:O10"/>
    <mergeCell ref="P10:R10"/>
    <mergeCell ref="S10:X10"/>
    <mergeCell ref="Y10:Z10"/>
    <mergeCell ref="C11:O11"/>
    <mergeCell ref="D5:P5"/>
    <mergeCell ref="Q5:U5"/>
    <mergeCell ref="V5:Z5"/>
    <mergeCell ref="A6:Z6"/>
    <mergeCell ref="A7:Z7"/>
    <mergeCell ref="A8:Z8"/>
    <mergeCell ref="A1:Z1"/>
    <mergeCell ref="A2:Z2"/>
    <mergeCell ref="D3:P3"/>
    <mergeCell ref="Q3:U3"/>
    <mergeCell ref="V3:Z3"/>
    <mergeCell ref="A4:Z4"/>
    <mergeCell ref="A5:C5"/>
    <mergeCell ref="A3:C3"/>
  </mergeCells>
  <conditionalFormatting sqref="S20:X41">
    <cfRule type="cellIs" dxfId="10" priority="8" operator="equal">
      <formula>$S$15</formula>
    </cfRule>
  </conditionalFormatting>
  <conditionalFormatting sqref="AB22:AC27">
    <cfRule type="cellIs" dxfId="9" priority="7" operator="equal">
      <formula>#REF!</formula>
    </cfRule>
  </conditionalFormatting>
  <conditionalFormatting sqref="AD22:AD27">
    <cfRule type="cellIs" dxfId="8" priority="6" operator="equal">
      <formula>#REF!</formula>
    </cfRule>
  </conditionalFormatting>
  <conditionalFormatting sqref="AE22:AE27">
    <cfRule type="cellIs" dxfId="7" priority="5" operator="equal">
      <formula>#REF!</formula>
    </cfRule>
  </conditionalFormatting>
  <conditionalFormatting sqref="AF22:AF27">
    <cfRule type="cellIs" dxfId="6" priority="4" operator="equal">
      <formula>#REF!</formula>
    </cfRule>
  </conditionalFormatting>
  <conditionalFormatting sqref="AG22:AG27">
    <cfRule type="cellIs" dxfId="5" priority="3" operator="equal">
      <formula>#REF!</formula>
    </cfRule>
  </conditionalFormatting>
  <conditionalFormatting sqref="AH22:AH27">
    <cfRule type="cellIs" dxfId="4" priority="2" operator="equal">
      <formula>#REF!</formula>
    </cfRule>
  </conditionalFormatting>
  <conditionalFormatting sqref="AI22:AI27">
    <cfRule type="cellIs" dxfId="3" priority="1" operator="equal">
      <formula>#REF!</formula>
    </cfRule>
  </conditionalFormatting>
  <printOptions horizontalCentered="1"/>
  <pageMargins left="1" right="1" top="0.5" bottom="0.5" header="0" footer="0"/>
  <pageSetup orientation="portrait" r:id="rId1"/>
  <headerFooter>
    <oddFooter xml:space="preserve">&amp;L4/7/2022
</oddFooter>
  </headerFooter>
  <colBreaks count="1" manualBreakCount="1">
    <brk id="26" max="1048575" man="1"/>
  </colBreaks>
  <ignoredErrors>
    <ignoredError sqref="A9:R9 A12:Z14 A11:R11 Y11:Z11 A10:R10 Y10:Z10 Y9:Z9 A15:R15 T15:Z15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1"/>
  <sheetViews>
    <sheetView showGridLines="0" zoomScaleNormal="100" zoomScaleSheetLayoutView="130" zoomScalePageLayoutView="145" workbookViewId="0">
      <selection activeCell="D3" sqref="D3:P3"/>
    </sheetView>
  </sheetViews>
  <sheetFormatPr defaultColWidth="3.140625" defaultRowHeight="18" customHeight="1" x14ac:dyDescent="0.25"/>
  <cols>
    <col min="1" max="26" width="3.140625" style="2" customWidth="1"/>
    <col min="27" max="16384" width="3.140625" style="2"/>
  </cols>
  <sheetData>
    <row r="1" spans="1:27" ht="18" customHeight="1" thickBot="1" x14ac:dyDescent="0.3">
      <c r="A1" s="99" t="s">
        <v>184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1"/>
    </row>
    <row r="2" spans="1:27" ht="7.35" customHeight="1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"/>
    </row>
    <row r="3" spans="1:27" ht="18" customHeight="1" x14ac:dyDescent="0.25">
      <c r="A3" s="101" t="s">
        <v>0</v>
      </c>
      <c r="B3" s="101"/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3" t="s">
        <v>1</v>
      </c>
      <c r="R3" s="103"/>
      <c r="S3" s="103"/>
      <c r="T3" s="103"/>
      <c r="U3" s="103"/>
      <c r="V3" s="104"/>
      <c r="W3" s="104"/>
      <c r="X3" s="104"/>
      <c r="Y3" s="104"/>
      <c r="Z3" s="104"/>
      <c r="AA3" s="1"/>
    </row>
    <row r="4" spans="1:27" ht="7.35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1"/>
    </row>
    <row r="5" spans="1:27" ht="18" customHeight="1" x14ac:dyDescent="0.25">
      <c r="A5" s="101" t="s">
        <v>2</v>
      </c>
      <c r="B5" s="101"/>
      <c r="C5" s="101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3" t="s">
        <v>3</v>
      </c>
      <c r="R5" s="103"/>
      <c r="S5" s="103"/>
      <c r="T5" s="103"/>
      <c r="U5" s="103"/>
      <c r="V5" s="104"/>
      <c r="W5" s="104"/>
      <c r="X5" s="104"/>
      <c r="Y5" s="104"/>
      <c r="Z5" s="104"/>
      <c r="AA5" s="1"/>
    </row>
    <row r="6" spans="1:27" ht="7.35" customHeight="1" x14ac:dyDescent="0.25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"/>
    </row>
    <row r="7" spans="1:27" ht="18" customHeight="1" x14ac:dyDescent="0.25">
      <c r="A7" s="70" t="s">
        <v>122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1"/>
    </row>
    <row r="8" spans="1:27" ht="7.35" customHeight="1" x14ac:dyDescent="0.25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1"/>
    </row>
    <row r="9" spans="1:27" ht="36" customHeight="1" x14ac:dyDescent="0.25">
      <c r="A9" s="74"/>
      <c r="B9" s="9" t="s">
        <v>48</v>
      </c>
      <c r="C9" s="74" t="s">
        <v>151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243"/>
      <c r="Q9" s="243"/>
      <c r="R9" s="248"/>
      <c r="S9" s="75"/>
      <c r="T9" s="75"/>
      <c r="U9" s="75"/>
      <c r="V9" s="75"/>
      <c r="W9" s="75"/>
      <c r="X9" s="75"/>
      <c r="Y9" s="73" t="s">
        <v>46</v>
      </c>
      <c r="Z9" s="74"/>
      <c r="AA9" s="1"/>
    </row>
    <row r="10" spans="1:27" ht="36" customHeight="1" x14ac:dyDescent="0.25">
      <c r="A10" s="74"/>
      <c r="B10" s="9" t="s">
        <v>47</v>
      </c>
      <c r="C10" s="71" t="s">
        <v>169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243"/>
      <c r="Q10" s="243"/>
      <c r="R10" s="248"/>
      <c r="S10" s="75"/>
      <c r="T10" s="75"/>
      <c r="U10" s="75"/>
      <c r="V10" s="75"/>
      <c r="W10" s="75"/>
      <c r="X10" s="75"/>
      <c r="Y10" s="73"/>
      <c r="Z10" s="74"/>
      <c r="AA10" s="1"/>
    </row>
    <row r="11" spans="1:27" ht="36" customHeight="1" x14ac:dyDescent="0.25">
      <c r="A11" s="74"/>
      <c r="B11" s="9" t="s">
        <v>45</v>
      </c>
      <c r="C11" s="74" t="s">
        <v>153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243"/>
      <c r="Q11" s="243"/>
      <c r="R11" s="248"/>
      <c r="S11" s="191"/>
      <c r="T11" s="192"/>
      <c r="U11" s="192"/>
      <c r="V11" s="192"/>
      <c r="W11" s="192"/>
      <c r="X11" s="193"/>
      <c r="Y11" s="73" t="s">
        <v>86</v>
      </c>
      <c r="Z11" s="74"/>
      <c r="AA11" s="1"/>
    </row>
    <row r="12" spans="1:27" ht="7.35" customHeight="1" x14ac:dyDescent="0.25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1"/>
    </row>
    <row r="13" spans="1:27" ht="18" customHeight="1" x14ac:dyDescent="0.25">
      <c r="A13" s="70" t="s">
        <v>87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1"/>
    </row>
    <row r="14" spans="1:27" ht="7.35" customHeight="1" thickBot="1" x14ac:dyDescent="0.3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1"/>
    </row>
    <row r="15" spans="1:27" ht="36" customHeight="1" thickBot="1" x14ac:dyDescent="0.3">
      <c r="A15" s="5"/>
      <c r="B15" s="9" t="s">
        <v>44</v>
      </c>
      <c r="C15" s="71" t="s">
        <v>155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243"/>
      <c r="Q15" s="243"/>
      <c r="R15" s="244"/>
      <c r="S15" s="245" t="str">
        <f>IF(S11="","",MAX(S20:S49))</f>
        <v/>
      </c>
      <c r="T15" s="246"/>
      <c r="U15" s="246"/>
      <c r="V15" s="246"/>
      <c r="W15" s="246"/>
      <c r="X15" s="247"/>
      <c r="Y15" s="87" t="s">
        <v>27</v>
      </c>
      <c r="Z15" s="74"/>
      <c r="AA15" s="1"/>
    </row>
    <row r="16" spans="1:27" ht="7.35" customHeight="1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1"/>
    </row>
    <row r="17" spans="1:27" ht="18" customHeight="1" x14ac:dyDescent="0.25">
      <c r="A17" s="70" t="s">
        <v>88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1"/>
    </row>
    <row r="18" spans="1:27" ht="7.35" customHeight="1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1"/>
    </row>
    <row r="19" spans="1:27" ht="32.25" customHeight="1" x14ac:dyDescent="0.25">
      <c r="A19" s="111"/>
      <c r="B19" s="168"/>
      <c r="C19" s="279" t="s">
        <v>94</v>
      </c>
      <c r="D19" s="279"/>
      <c r="E19" s="279"/>
      <c r="F19" s="279"/>
      <c r="G19" s="279" t="s">
        <v>89</v>
      </c>
      <c r="H19" s="279"/>
      <c r="I19" s="279"/>
      <c r="J19" s="279"/>
      <c r="K19" s="279" t="s">
        <v>90</v>
      </c>
      <c r="L19" s="279"/>
      <c r="M19" s="279"/>
      <c r="N19" s="279"/>
      <c r="O19" s="279" t="s">
        <v>91</v>
      </c>
      <c r="P19" s="279"/>
      <c r="Q19" s="279"/>
      <c r="R19" s="279"/>
      <c r="S19" s="279" t="s">
        <v>92</v>
      </c>
      <c r="T19" s="279"/>
      <c r="U19" s="279"/>
      <c r="V19" s="279"/>
      <c r="W19" s="279"/>
      <c r="X19" s="279"/>
      <c r="Y19" s="199"/>
      <c r="Z19" s="111"/>
      <c r="AA19" s="1"/>
    </row>
    <row r="20" spans="1:27" ht="11.45" customHeight="1" x14ac:dyDescent="0.25">
      <c r="A20" s="111"/>
      <c r="B20" s="168"/>
      <c r="C20" s="260">
        <v>5</v>
      </c>
      <c r="D20" s="261"/>
      <c r="E20" s="277" t="s">
        <v>93</v>
      </c>
      <c r="F20" s="278"/>
      <c r="G20" s="264">
        <v>12.36</v>
      </c>
      <c r="H20" s="265"/>
      <c r="I20" s="265"/>
      <c r="J20" s="266"/>
      <c r="K20" s="267" t="str">
        <f>IF(AND(ISNUMBER($S$9),ISNUMBER($S$10)),$S$10*G20*$S$9,"")</f>
        <v/>
      </c>
      <c r="L20" s="268"/>
      <c r="M20" s="268"/>
      <c r="N20" s="269"/>
      <c r="O20" s="270" t="str">
        <f>IF(AND(ISNUMBER($S$11),ISNUMBER(K20)),K20-$S$11,"")</f>
        <v/>
      </c>
      <c r="P20" s="270"/>
      <c r="Q20" s="270"/>
      <c r="R20" s="270"/>
      <c r="S20" s="274" t="str">
        <f t="shared" ref="S20:S26" si="0">IF(ISNUMBER(O20),((C20/60)*O20)/12.1,"")</f>
        <v/>
      </c>
      <c r="T20" s="274"/>
      <c r="U20" s="274"/>
      <c r="V20" s="274"/>
      <c r="W20" s="274"/>
      <c r="X20" s="274"/>
      <c r="Y20" s="17" t="str">
        <f>IF(S20="","",IF($S20=$S$15,"←",""))</f>
        <v/>
      </c>
      <c r="Z20" s="111"/>
      <c r="AA20" s="1"/>
    </row>
    <row r="21" spans="1:27" ht="11.45" customHeight="1" x14ac:dyDescent="0.25">
      <c r="A21" s="111"/>
      <c r="B21" s="168"/>
      <c r="C21" s="260">
        <v>10</v>
      </c>
      <c r="D21" s="261"/>
      <c r="E21" s="277" t="s">
        <v>93</v>
      </c>
      <c r="F21" s="278"/>
      <c r="G21" s="264">
        <v>10.8</v>
      </c>
      <c r="H21" s="265"/>
      <c r="I21" s="265"/>
      <c r="J21" s="266"/>
      <c r="K21" s="267" t="str">
        <f t="shared" ref="K21:K41" si="1">IF(AND(ISNUMBER($S$9),ISNUMBER($S$10)),$S$10*G21*$S$9,"")</f>
        <v/>
      </c>
      <c r="L21" s="268"/>
      <c r="M21" s="268"/>
      <c r="N21" s="269"/>
      <c r="O21" s="270" t="str">
        <f t="shared" ref="O21:O41" si="2">IF(AND(ISNUMBER($S$11),ISNUMBER(K21)),K21-$S$11,"")</f>
        <v/>
      </c>
      <c r="P21" s="270"/>
      <c r="Q21" s="270"/>
      <c r="R21" s="270"/>
      <c r="S21" s="274" t="str">
        <f t="shared" si="0"/>
        <v/>
      </c>
      <c r="T21" s="274"/>
      <c r="U21" s="274"/>
      <c r="V21" s="274"/>
      <c r="W21" s="274"/>
      <c r="X21" s="274"/>
      <c r="Y21" s="17" t="str">
        <f t="shared" ref="Y21:Y41" si="3">IF(S21="","",IF($S21=$S$15,"←",""))</f>
        <v/>
      </c>
      <c r="Z21" s="111"/>
      <c r="AA21" s="1"/>
    </row>
    <row r="22" spans="1:27" ht="11.45" customHeight="1" x14ac:dyDescent="0.25">
      <c r="A22" s="111"/>
      <c r="B22" s="168"/>
      <c r="C22" s="260">
        <v>15</v>
      </c>
      <c r="D22" s="261"/>
      <c r="E22" s="277" t="s">
        <v>93</v>
      </c>
      <c r="F22" s="278"/>
      <c r="G22" s="264">
        <v>9.2799999999999994</v>
      </c>
      <c r="H22" s="265"/>
      <c r="I22" s="265"/>
      <c r="J22" s="266"/>
      <c r="K22" s="267" t="str">
        <f t="shared" si="1"/>
        <v/>
      </c>
      <c r="L22" s="268"/>
      <c r="M22" s="268"/>
      <c r="N22" s="269"/>
      <c r="O22" s="270" t="str">
        <f t="shared" si="2"/>
        <v/>
      </c>
      <c r="P22" s="270"/>
      <c r="Q22" s="270"/>
      <c r="R22" s="270"/>
      <c r="S22" s="274" t="str">
        <f t="shared" si="0"/>
        <v/>
      </c>
      <c r="T22" s="274"/>
      <c r="U22" s="274"/>
      <c r="V22" s="274"/>
      <c r="W22" s="274"/>
      <c r="X22" s="274"/>
      <c r="Y22" s="17" t="str">
        <f t="shared" si="3"/>
        <v/>
      </c>
      <c r="Z22" s="111"/>
      <c r="AA22" s="1"/>
    </row>
    <row r="23" spans="1:27" ht="11.45" customHeight="1" x14ac:dyDescent="0.25">
      <c r="A23" s="111"/>
      <c r="B23" s="168"/>
      <c r="C23" s="260">
        <v>20</v>
      </c>
      <c r="D23" s="261"/>
      <c r="E23" s="277" t="s">
        <v>93</v>
      </c>
      <c r="F23" s="278"/>
      <c r="G23" s="264">
        <v>8.0399999999999991</v>
      </c>
      <c r="H23" s="265"/>
      <c r="I23" s="265"/>
      <c r="J23" s="266"/>
      <c r="K23" s="267" t="str">
        <f t="shared" si="1"/>
        <v/>
      </c>
      <c r="L23" s="268"/>
      <c r="M23" s="268"/>
      <c r="N23" s="269"/>
      <c r="O23" s="270" t="str">
        <f t="shared" si="2"/>
        <v/>
      </c>
      <c r="P23" s="270"/>
      <c r="Q23" s="270"/>
      <c r="R23" s="270"/>
      <c r="S23" s="274" t="str">
        <f t="shared" si="0"/>
        <v/>
      </c>
      <c r="T23" s="274"/>
      <c r="U23" s="274"/>
      <c r="V23" s="274"/>
      <c r="W23" s="274"/>
      <c r="X23" s="274"/>
      <c r="Y23" s="17" t="str">
        <f t="shared" si="3"/>
        <v/>
      </c>
      <c r="Z23" s="111"/>
      <c r="AA23" s="1"/>
    </row>
    <row r="24" spans="1:27" ht="11.45" customHeight="1" x14ac:dyDescent="0.25">
      <c r="A24" s="111"/>
      <c r="B24" s="168"/>
      <c r="C24" s="260">
        <v>30</v>
      </c>
      <c r="D24" s="261"/>
      <c r="E24" s="277" t="s">
        <v>93</v>
      </c>
      <c r="F24" s="278"/>
      <c r="G24" s="264">
        <v>6.34</v>
      </c>
      <c r="H24" s="265"/>
      <c r="I24" s="265"/>
      <c r="J24" s="266"/>
      <c r="K24" s="267" t="str">
        <f t="shared" si="1"/>
        <v/>
      </c>
      <c r="L24" s="268"/>
      <c r="M24" s="268"/>
      <c r="N24" s="269"/>
      <c r="O24" s="270" t="str">
        <f t="shared" si="2"/>
        <v/>
      </c>
      <c r="P24" s="270"/>
      <c r="Q24" s="270"/>
      <c r="R24" s="270"/>
      <c r="S24" s="274" t="str">
        <f t="shared" si="0"/>
        <v/>
      </c>
      <c r="T24" s="274"/>
      <c r="U24" s="274"/>
      <c r="V24" s="274"/>
      <c r="W24" s="274"/>
      <c r="X24" s="274"/>
      <c r="Y24" s="17" t="str">
        <f t="shared" si="3"/>
        <v/>
      </c>
      <c r="Z24" s="111"/>
      <c r="AA24" s="1"/>
    </row>
    <row r="25" spans="1:27" ht="11.45" customHeight="1" x14ac:dyDescent="0.25">
      <c r="A25" s="111"/>
      <c r="B25" s="168"/>
      <c r="C25" s="260">
        <v>40</v>
      </c>
      <c r="D25" s="261"/>
      <c r="E25" s="277" t="s">
        <v>93</v>
      </c>
      <c r="F25" s="278"/>
      <c r="G25" s="264">
        <v>5.28</v>
      </c>
      <c r="H25" s="265"/>
      <c r="I25" s="265"/>
      <c r="J25" s="266"/>
      <c r="K25" s="267" t="str">
        <f t="shared" si="1"/>
        <v/>
      </c>
      <c r="L25" s="268"/>
      <c r="M25" s="268"/>
      <c r="N25" s="269"/>
      <c r="O25" s="270" t="str">
        <f t="shared" si="2"/>
        <v/>
      </c>
      <c r="P25" s="270"/>
      <c r="Q25" s="270"/>
      <c r="R25" s="270"/>
      <c r="S25" s="274" t="str">
        <f t="shared" si="0"/>
        <v/>
      </c>
      <c r="T25" s="274"/>
      <c r="U25" s="274"/>
      <c r="V25" s="274"/>
      <c r="W25" s="274"/>
      <c r="X25" s="274"/>
      <c r="Y25" s="17" t="str">
        <f t="shared" si="3"/>
        <v/>
      </c>
      <c r="Z25" s="111"/>
      <c r="AA25" s="1"/>
    </row>
    <row r="26" spans="1:27" ht="11.45" customHeight="1" x14ac:dyDescent="0.25">
      <c r="A26" s="111"/>
      <c r="B26" s="168"/>
      <c r="C26" s="260">
        <v>50</v>
      </c>
      <c r="D26" s="261"/>
      <c r="E26" s="277" t="s">
        <v>93</v>
      </c>
      <c r="F26" s="278"/>
      <c r="G26" s="264">
        <v>4.55</v>
      </c>
      <c r="H26" s="265"/>
      <c r="I26" s="265"/>
      <c r="J26" s="266"/>
      <c r="K26" s="267" t="str">
        <f t="shared" si="1"/>
        <v/>
      </c>
      <c r="L26" s="268"/>
      <c r="M26" s="268"/>
      <c r="N26" s="269"/>
      <c r="O26" s="270" t="str">
        <f t="shared" si="2"/>
        <v/>
      </c>
      <c r="P26" s="270"/>
      <c r="Q26" s="270"/>
      <c r="R26" s="270"/>
      <c r="S26" s="274" t="str">
        <f t="shared" si="0"/>
        <v/>
      </c>
      <c r="T26" s="274"/>
      <c r="U26" s="274"/>
      <c r="V26" s="274"/>
      <c r="W26" s="274"/>
      <c r="X26" s="274"/>
      <c r="Y26" s="17" t="str">
        <f t="shared" si="3"/>
        <v/>
      </c>
      <c r="Z26" s="111"/>
      <c r="AA26" s="1"/>
    </row>
    <row r="27" spans="1:27" ht="11.45" customHeight="1" x14ac:dyDescent="0.25">
      <c r="A27" s="111"/>
      <c r="B27" s="168"/>
      <c r="C27" s="260">
        <v>1</v>
      </c>
      <c r="D27" s="261"/>
      <c r="E27" s="262" t="s">
        <v>59</v>
      </c>
      <c r="F27" s="263"/>
      <c r="G27" s="264">
        <v>4.03</v>
      </c>
      <c r="H27" s="265"/>
      <c r="I27" s="265"/>
      <c r="J27" s="266"/>
      <c r="K27" s="267" t="str">
        <f t="shared" si="1"/>
        <v/>
      </c>
      <c r="L27" s="268"/>
      <c r="M27" s="268"/>
      <c r="N27" s="269"/>
      <c r="O27" s="270" t="str">
        <f t="shared" si="2"/>
        <v/>
      </c>
      <c r="P27" s="270"/>
      <c r="Q27" s="270"/>
      <c r="R27" s="270"/>
      <c r="S27" s="274" t="str">
        <f t="shared" ref="S27:S41" si="4">IF(ISNUMBER(O27),(C27*O27)/12.1,"")</f>
        <v/>
      </c>
      <c r="T27" s="274"/>
      <c r="U27" s="274"/>
      <c r="V27" s="274"/>
      <c r="W27" s="274"/>
      <c r="X27" s="274"/>
      <c r="Y27" s="17" t="str">
        <f t="shared" si="3"/>
        <v/>
      </c>
      <c r="Z27" s="111"/>
      <c r="AA27" s="1"/>
    </row>
    <row r="28" spans="1:27" ht="11.45" customHeight="1" x14ac:dyDescent="0.25">
      <c r="A28" s="111"/>
      <c r="B28" s="168"/>
      <c r="C28" s="275">
        <v>1.5</v>
      </c>
      <c r="D28" s="276"/>
      <c r="E28" s="262" t="s">
        <v>59</v>
      </c>
      <c r="F28" s="263"/>
      <c r="G28" s="264">
        <v>3.03</v>
      </c>
      <c r="H28" s="265"/>
      <c r="I28" s="265"/>
      <c r="J28" s="266"/>
      <c r="K28" s="267" t="str">
        <f t="shared" si="1"/>
        <v/>
      </c>
      <c r="L28" s="268"/>
      <c r="M28" s="268"/>
      <c r="N28" s="269"/>
      <c r="O28" s="270" t="str">
        <f t="shared" si="2"/>
        <v/>
      </c>
      <c r="P28" s="270"/>
      <c r="Q28" s="270"/>
      <c r="R28" s="270"/>
      <c r="S28" s="274" t="str">
        <f t="shared" si="4"/>
        <v/>
      </c>
      <c r="T28" s="274"/>
      <c r="U28" s="274"/>
      <c r="V28" s="274"/>
      <c r="W28" s="274"/>
      <c r="X28" s="274"/>
      <c r="Y28" s="17" t="str">
        <f t="shared" si="3"/>
        <v/>
      </c>
      <c r="Z28" s="111"/>
      <c r="AA28" s="1"/>
    </row>
    <row r="29" spans="1:27" ht="11.45" customHeight="1" x14ac:dyDescent="0.25">
      <c r="A29" s="111"/>
      <c r="B29" s="168"/>
      <c r="C29" s="260">
        <v>2</v>
      </c>
      <c r="D29" s="261"/>
      <c r="E29" s="262" t="s">
        <v>59</v>
      </c>
      <c r="F29" s="263"/>
      <c r="G29" s="264">
        <v>2.4900000000000002</v>
      </c>
      <c r="H29" s="265"/>
      <c r="I29" s="265"/>
      <c r="J29" s="266"/>
      <c r="K29" s="267" t="str">
        <f t="shared" si="1"/>
        <v/>
      </c>
      <c r="L29" s="268"/>
      <c r="M29" s="268"/>
      <c r="N29" s="269"/>
      <c r="O29" s="270" t="str">
        <f t="shared" si="2"/>
        <v/>
      </c>
      <c r="P29" s="270"/>
      <c r="Q29" s="270"/>
      <c r="R29" s="270"/>
      <c r="S29" s="274" t="str">
        <f t="shared" si="4"/>
        <v/>
      </c>
      <c r="T29" s="274"/>
      <c r="U29" s="274"/>
      <c r="V29" s="274"/>
      <c r="W29" s="274"/>
      <c r="X29" s="274"/>
      <c r="Y29" s="17" t="str">
        <f t="shared" si="3"/>
        <v/>
      </c>
      <c r="Z29" s="111"/>
    </row>
    <row r="30" spans="1:27" ht="11.45" customHeight="1" x14ac:dyDescent="0.25">
      <c r="A30" s="111"/>
      <c r="B30" s="168"/>
      <c r="C30" s="260">
        <v>3</v>
      </c>
      <c r="D30" s="261"/>
      <c r="E30" s="262" t="s">
        <v>59</v>
      </c>
      <c r="F30" s="263"/>
      <c r="G30" s="264">
        <v>1.83</v>
      </c>
      <c r="H30" s="265"/>
      <c r="I30" s="265"/>
      <c r="J30" s="266"/>
      <c r="K30" s="267" t="str">
        <f t="shared" si="1"/>
        <v/>
      </c>
      <c r="L30" s="268"/>
      <c r="M30" s="268"/>
      <c r="N30" s="269"/>
      <c r="O30" s="270" t="str">
        <f t="shared" si="2"/>
        <v/>
      </c>
      <c r="P30" s="270"/>
      <c r="Q30" s="270"/>
      <c r="R30" s="270"/>
      <c r="S30" s="274" t="str">
        <f t="shared" si="4"/>
        <v/>
      </c>
      <c r="T30" s="274"/>
      <c r="U30" s="274"/>
      <c r="V30" s="274"/>
      <c r="W30" s="274"/>
      <c r="X30" s="274"/>
      <c r="Y30" s="17" t="str">
        <f t="shared" si="3"/>
        <v/>
      </c>
      <c r="Z30" s="111"/>
    </row>
    <row r="31" spans="1:27" ht="11.45" customHeight="1" x14ac:dyDescent="0.25">
      <c r="A31" s="111"/>
      <c r="B31" s="168"/>
      <c r="C31" s="260">
        <v>4</v>
      </c>
      <c r="D31" s="261"/>
      <c r="E31" s="262" t="s">
        <v>59</v>
      </c>
      <c r="F31" s="263"/>
      <c r="G31" s="264">
        <v>1.48</v>
      </c>
      <c r="H31" s="265"/>
      <c r="I31" s="265"/>
      <c r="J31" s="266"/>
      <c r="K31" s="267" t="str">
        <f t="shared" si="1"/>
        <v/>
      </c>
      <c r="L31" s="268"/>
      <c r="M31" s="268"/>
      <c r="N31" s="269"/>
      <c r="O31" s="270" t="str">
        <f t="shared" si="2"/>
        <v/>
      </c>
      <c r="P31" s="270"/>
      <c r="Q31" s="270"/>
      <c r="R31" s="270"/>
      <c r="S31" s="274" t="str">
        <f t="shared" si="4"/>
        <v/>
      </c>
      <c r="T31" s="274"/>
      <c r="U31" s="274"/>
      <c r="V31" s="274"/>
      <c r="W31" s="274"/>
      <c r="X31" s="274"/>
      <c r="Y31" s="17" t="str">
        <f t="shared" si="3"/>
        <v/>
      </c>
      <c r="Z31" s="111"/>
    </row>
    <row r="32" spans="1:27" ht="11.45" customHeight="1" x14ac:dyDescent="0.25">
      <c r="A32" s="111"/>
      <c r="B32" s="168"/>
      <c r="C32" s="260">
        <v>5</v>
      </c>
      <c r="D32" s="261"/>
      <c r="E32" s="262" t="s">
        <v>59</v>
      </c>
      <c r="F32" s="263"/>
      <c r="G32" s="264">
        <v>1.25</v>
      </c>
      <c r="H32" s="265"/>
      <c r="I32" s="265"/>
      <c r="J32" s="266"/>
      <c r="K32" s="267" t="str">
        <f t="shared" si="1"/>
        <v/>
      </c>
      <c r="L32" s="268"/>
      <c r="M32" s="268"/>
      <c r="N32" s="269"/>
      <c r="O32" s="270" t="str">
        <f t="shared" si="2"/>
        <v/>
      </c>
      <c r="P32" s="270"/>
      <c r="Q32" s="270"/>
      <c r="R32" s="270"/>
      <c r="S32" s="274" t="str">
        <f t="shared" si="4"/>
        <v/>
      </c>
      <c r="T32" s="274"/>
      <c r="U32" s="274"/>
      <c r="V32" s="274"/>
      <c r="W32" s="274"/>
      <c r="X32" s="274"/>
      <c r="Y32" s="17" t="str">
        <f t="shared" si="3"/>
        <v/>
      </c>
      <c r="Z32" s="111"/>
    </row>
    <row r="33" spans="1:26" ht="11.45" customHeight="1" x14ac:dyDescent="0.25">
      <c r="A33" s="111"/>
      <c r="B33" s="168"/>
      <c r="C33" s="260">
        <v>6</v>
      </c>
      <c r="D33" s="261"/>
      <c r="E33" s="262" t="s">
        <v>59</v>
      </c>
      <c r="F33" s="263"/>
      <c r="G33" s="264">
        <v>1.07</v>
      </c>
      <c r="H33" s="265"/>
      <c r="I33" s="265"/>
      <c r="J33" s="266"/>
      <c r="K33" s="267" t="str">
        <f t="shared" si="1"/>
        <v/>
      </c>
      <c r="L33" s="268"/>
      <c r="M33" s="268"/>
      <c r="N33" s="269"/>
      <c r="O33" s="270" t="str">
        <f t="shared" si="2"/>
        <v/>
      </c>
      <c r="P33" s="270"/>
      <c r="Q33" s="270"/>
      <c r="R33" s="270"/>
      <c r="S33" s="274" t="str">
        <f t="shared" si="4"/>
        <v/>
      </c>
      <c r="T33" s="274"/>
      <c r="U33" s="274"/>
      <c r="V33" s="274"/>
      <c r="W33" s="274"/>
      <c r="X33" s="274"/>
      <c r="Y33" s="17" t="str">
        <f t="shared" si="3"/>
        <v/>
      </c>
      <c r="Z33" s="111"/>
    </row>
    <row r="34" spans="1:26" ht="11.45" customHeight="1" x14ac:dyDescent="0.25">
      <c r="A34" s="111"/>
      <c r="B34" s="168"/>
      <c r="C34" s="260">
        <v>7</v>
      </c>
      <c r="D34" s="261"/>
      <c r="E34" s="262" t="s">
        <v>59</v>
      </c>
      <c r="F34" s="263"/>
      <c r="G34" s="264">
        <v>0.96</v>
      </c>
      <c r="H34" s="265"/>
      <c r="I34" s="265"/>
      <c r="J34" s="266"/>
      <c r="K34" s="267" t="str">
        <f t="shared" si="1"/>
        <v/>
      </c>
      <c r="L34" s="268"/>
      <c r="M34" s="268"/>
      <c r="N34" s="269"/>
      <c r="O34" s="270" t="str">
        <f t="shared" si="2"/>
        <v/>
      </c>
      <c r="P34" s="270"/>
      <c r="Q34" s="270"/>
      <c r="R34" s="270"/>
      <c r="S34" s="274" t="str">
        <f t="shared" si="4"/>
        <v/>
      </c>
      <c r="T34" s="274"/>
      <c r="U34" s="274"/>
      <c r="V34" s="274"/>
      <c r="W34" s="274"/>
      <c r="X34" s="274"/>
      <c r="Y34" s="17" t="str">
        <f t="shared" si="3"/>
        <v/>
      </c>
      <c r="Z34" s="111"/>
    </row>
    <row r="35" spans="1:26" ht="11.45" customHeight="1" x14ac:dyDescent="0.25">
      <c r="A35" s="111"/>
      <c r="B35" s="168"/>
      <c r="C35" s="260">
        <v>8</v>
      </c>
      <c r="D35" s="261"/>
      <c r="E35" s="262" t="s">
        <v>59</v>
      </c>
      <c r="F35" s="263"/>
      <c r="G35" s="264">
        <v>0.86</v>
      </c>
      <c r="H35" s="265"/>
      <c r="I35" s="265"/>
      <c r="J35" s="266"/>
      <c r="K35" s="267" t="str">
        <f t="shared" si="1"/>
        <v/>
      </c>
      <c r="L35" s="268"/>
      <c r="M35" s="268"/>
      <c r="N35" s="269"/>
      <c r="O35" s="270" t="str">
        <f t="shared" si="2"/>
        <v/>
      </c>
      <c r="P35" s="270"/>
      <c r="Q35" s="270"/>
      <c r="R35" s="270"/>
      <c r="S35" s="271" t="str">
        <f t="shared" si="4"/>
        <v/>
      </c>
      <c r="T35" s="272"/>
      <c r="U35" s="272"/>
      <c r="V35" s="272"/>
      <c r="W35" s="272"/>
      <c r="X35" s="273"/>
      <c r="Y35" s="17" t="str">
        <f t="shared" si="3"/>
        <v/>
      </c>
      <c r="Z35" s="111"/>
    </row>
    <row r="36" spans="1:26" ht="11.45" customHeight="1" x14ac:dyDescent="0.25">
      <c r="A36" s="111"/>
      <c r="B36" s="168"/>
      <c r="C36" s="260">
        <v>9</v>
      </c>
      <c r="D36" s="261"/>
      <c r="E36" s="262" t="s">
        <v>59</v>
      </c>
      <c r="F36" s="263"/>
      <c r="G36" s="264">
        <v>0.79</v>
      </c>
      <c r="H36" s="265"/>
      <c r="I36" s="265"/>
      <c r="J36" s="266"/>
      <c r="K36" s="267" t="str">
        <f t="shared" si="1"/>
        <v/>
      </c>
      <c r="L36" s="268"/>
      <c r="M36" s="268"/>
      <c r="N36" s="269"/>
      <c r="O36" s="270" t="str">
        <f t="shared" si="2"/>
        <v/>
      </c>
      <c r="P36" s="270"/>
      <c r="Q36" s="270"/>
      <c r="R36" s="270"/>
      <c r="S36" s="271" t="str">
        <f t="shared" si="4"/>
        <v/>
      </c>
      <c r="T36" s="272"/>
      <c r="U36" s="272"/>
      <c r="V36" s="272"/>
      <c r="W36" s="272"/>
      <c r="X36" s="273"/>
      <c r="Y36" s="17" t="str">
        <f t="shared" si="3"/>
        <v/>
      </c>
      <c r="Z36" s="111"/>
    </row>
    <row r="37" spans="1:26" ht="11.45" customHeight="1" x14ac:dyDescent="0.25">
      <c r="A37" s="111"/>
      <c r="B37" s="168"/>
      <c r="C37" s="260">
        <v>10</v>
      </c>
      <c r="D37" s="261"/>
      <c r="E37" s="262" t="s">
        <v>59</v>
      </c>
      <c r="F37" s="263"/>
      <c r="G37" s="264">
        <v>0.72</v>
      </c>
      <c r="H37" s="265"/>
      <c r="I37" s="265"/>
      <c r="J37" s="266"/>
      <c r="K37" s="267" t="str">
        <f t="shared" si="1"/>
        <v/>
      </c>
      <c r="L37" s="268"/>
      <c r="M37" s="268"/>
      <c r="N37" s="269"/>
      <c r="O37" s="270" t="str">
        <f t="shared" si="2"/>
        <v/>
      </c>
      <c r="P37" s="270"/>
      <c r="Q37" s="270"/>
      <c r="R37" s="270"/>
      <c r="S37" s="271" t="str">
        <f t="shared" si="4"/>
        <v/>
      </c>
      <c r="T37" s="272"/>
      <c r="U37" s="272"/>
      <c r="V37" s="272"/>
      <c r="W37" s="272"/>
      <c r="X37" s="273"/>
      <c r="Y37" s="17" t="str">
        <f t="shared" si="3"/>
        <v/>
      </c>
      <c r="Z37" s="111"/>
    </row>
    <row r="38" spans="1:26" ht="11.45" customHeight="1" x14ac:dyDescent="0.25">
      <c r="A38" s="111"/>
      <c r="B38" s="168"/>
      <c r="C38" s="260">
        <v>11</v>
      </c>
      <c r="D38" s="261"/>
      <c r="E38" s="262" t="s">
        <v>59</v>
      </c>
      <c r="F38" s="263"/>
      <c r="G38" s="264">
        <v>0.67</v>
      </c>
      <c r="H38" s="265"/>
      <c r="I38" s="265"/>
      <c r="J38" s="266"/>
      <c r="K38" s="267" t="str">
        <f t="shared" si="1"/>
        <v/>
      </c>
      <c r="L38" s="268"/>
      <c r="M38" s="268"/>
      <c r="N38" s="269"/>
      <c r="O38" s="270" t="str">
        <f t="shared" si="2"/>
        <v/>
      </c>
      <c r="P38" s="270"/>
      <c r="Q38" s="270"/>
      <c r="R38" s="270"/>
      <c r="S38" s="271" t="str">
        <f t="shared" si="4"/>
        <v/>
      </c>
      <c r="T38" s="272"/>
      <c r="U38" s="272"/>
      <c r="V38" s="272"/>
      <c r="W38" s="272"/>
      <c r="X38" s="273"/>
      <c r="Y38" s="17" t="str">
        <f t="shared" si="3"/>
        <v/>
      </c>
      <c r="Z38" s="111"/>
    </row>
    <row r="39" spans="1:26" ht="11.45" customHeight="1" x14ac:dyDescent="0.25">
      <c r="A39" s="111"/>
      <c r="B39" s="168"/>
      <c r="C39" s="260">
        <v>12</v>
      </c>
      <c r="D39" s="261"/>
      <c r="E39" s="262" t="s">
        <v>59</v>
      </c>
      <c r="F39" s="263"/>
      <c r="G39" s="264">
        <v>0.62132500000000002</v>
      </c>
      <c r="H39" s="265"/>
      <c r="I39" s="265"/>
      <c r="J39" s="266"/>
      <c r="K39" s="267" t="str">
        <f t="shared" si="1"/>
        <v/>
      </c>
      <c r="L39" s="268"/>
      <c r="M39" s="268"/>
      <c r="N39" s="269"/>
      <c r="O39" s="270" t="str">
        <f t="shared" si="2"/>
        <v/>
      </c>
      <c r="P39" s="270"/>
      <c r="Q39" s="270"/>
      <c r="R39" s="270"/>
      <c r="S39" s="271" t="str">
        <f t="shared" si="4"/>
        <v/>
      </c>
      <c r="T39" s="272"/>
      <c r="U39" s="272"/>
      <c r="V39" s="272"/>
      <c r="W39" s="272"/>
      <c r="X39" s="273"/>
      <c r="Y39" s="17" t="str">
        <f t="shared" si="3"/>
        <v/>
      </c>
      <c r="Z39" s="111"/>
    </row>
    <row r="40" spans="1:26" ht="11.45" customHeight="1" x14ac:dyDescent="0.25">
      <c r="A40" s="111"/>
      <c r="B40" s="168"/>
      <c r="C40" s="260">
        <v>18</v>
      </c>
      <c r="D40" s="261"/>
      <c r="E40" s="262" t="s">
        <v>59</v>
      </c>
      <c r="F40" s="263"/>
      <c r="G40" s="264">
        <v>0.44754444444444441</v>
      </c>
      <c r="H40" s="265"/>
      <c r="I40" s="265"/>
      <c r="J40" s="266"/>
      <c r="K40" s="267" t="str">
        <f t="shared" si="1"/>
        <v/>
      </c>
      <c r="L40" s="268"/>
      <c r="M40" s="268"/>
      <c r="N40" s="269"/>
      <c r="O40" s="270" t="str">
        <f t="shared" si="2"/>
        <v/>
      </c>
      <c r="P40" s="270"/>
      <c r="Q40" s="270"/>
      <c r="R40" s="270"/>
      <c r="S40" s="271" t="str">
        <f t="shared" si="4"/>
        <v/>
      </c>
      <c r="T40" s="272"/>
      <c r="U40" s="272"/>
      <c r="V40" s="272"/>
      <c r="W40" s="272"/>
      <c r="X40" s="273"/>
      <c r="Y40" s="17" t="str">
        <f t="shared" si="3"/>
        <v/>
      </c>
      <c r="Z40" s="111"/>
    </row>
    <row r="41" spans="1:26" ht="11.45" customHeight="1" x14ac:dyDescent="0.25">
      <c r="A41" s="111"/>
      <c r="B41" s="168"/>
      <c r="C41" s="260">
        <v>24</v>
      </c>
      <c r="D41" s="261"/>
      <c r="E41" s="262" t="s">
        <v>59</v>
      </c>
      <c r="F41" s="263"/>
      <c r="G41" s="264">
        <v>0.35708333333333336</v>
      </c>
      <c r="H41" s="265"/>
      <c r="I41" s="265"/>
      <c r="J41" s="266"/>
      <c r="K41" s="267" t="str">
        <f t="shared" si="1"/>
        <v/>
      </c>
      <c r="L41" s="268"/>
      <c r="M41" s="268"/>
      <c r="N41" s="269"/>
      <c r="O41" s="270" t="str">
        <f t="shared" si="2"/>
        <v/>
      </c>
      <c r="P41" s="270"/>
      <c r="Q41" s="270"/>
      <c r="R41" s="270"/>
      <c r="S41" s="271" t="str">
        <f t="shared" si="4"/>
        <v/>
      </c>
      <c r="T41" s="272"/>
      <c r="U41" s="272"/>
      <c r="V41" s="272"/>
      <c r="W41" s="272"/>
      <c r="X41" s="273"/>
      <c r="Y41" s="17" t="str">
        <f t="shared" si="3"/>
        <v/>
      </c>
      <c r="Z41" s="111"/>
    </row>
    <row r="42" spans="1:26" ht="11.45" customHeight="1" x14ac:dyDescent="0.25">
      <c r="A42" s="111"/>
      <c r="B42" s="111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111"/>
    </row>
    <row r="43" spans="1:26" ht="11.45" customHeight="1" x14ac:dyDescent="0.25">
      <c r="A43" s="111"/>
      <c r="B43" s="111"/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111"/>
    </row>
    <row r="44" spans="1:26" ht="11.45" customHeight="1" x14ac:dyDescent="0.25">
      <c r="A44" s="111"/>
      <c r="B44" s="111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111"/>
    </row>
    <row r="45" spans="1:26" ht="11.45" customHeight="1" x14ac:dyDescent="0.25">
      <c r="A45" s="111"/>
      <c r="B45" s="111"/>
      <c r="C45" s="259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111"/>
    </row>
    <row r="46" spans="1:26" ht="11.45" customHeight="1" x14ac:dyDescent="0.25">
      <c r="A46" s="111"/>
      <c r="B46" s="111"/>
      <c r="C46" s="259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111"/>
    </row>
    <row r="47" spans="1:26" ht="11.45" customHeight="1" x14ac:dyDescent="0.25">
      <c r="A47" s="111"/>
      <c r="B47" s="111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111"/>
    </row>
    <row r="48" spans="1:26" ht="11.45" customHeight="1" x14ac:dyDescent="0.25">
      <c r="A48" s="111"/>
      <c r="B48" s="111"/>
      <c r="C48" s="259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X48" s="259"/>
      <c r="Y48" s="259"/>
      <c r="Z48" s="111"/>
    </row>
    <row r="49" spans="1:26" ht="11.45" customHeight="1" x14ac:dyDescent="0.25">
      <c r="A49" s="111"/>
      <c r="B49" s="111"/>
      <c r="C49" s="259"/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59"/>
      <c r="W49" s="259"/>
      <c r="X49" s="259"/>
      <c r="Y49" s="259"/>
      <c r="Z49" s="111"/>
    </row>
    <row r="50" spans="1:26" ht="18" customHeight="1" x14ac:dyDescent="0.25">
      <c r="C50" s="18"/>
      <c r="D50" s="18"/>
      <c r="E50" s="18"/>
      <c r="F50" s="18"/>
    </row>
    <row r="51" spans="1:26" ht="18" customHeight="1" x14ac:dyDescent="0.25">
      <c r="C51" s="18"/>
      <c r="D51" s="18"/>
      <c r="E51" s="18"/>
      <c r="F51" s="18"/>
    </row>
  </sheetData>
  <sheetProtection algorithmName="SHA-512" hashValue="NBrUdfe6INtM9ZeQFIRUqAtxNHmxL+PVPUT0ylwHHcEX8KgCShTnVoVwQ97+2vjGRtN8S0qUNk94x3k8wo1WYg==" saltValue="KcqjWRn0flumUEqW2HGjvA==" spinCount="100000" sheet="1" selectLockedCells="1"/>
  <mergeCells count="178">
    <mergeCell ref="D5:P5"/>
    <mergeCell ref="Q5:U5"/>
    <mergeCell ref="V5:Z5"/>
    <mergeCell ref="A6:Z6"/>
    <mergeCell ref="A7:Z7"/>
    <mergeCell ref="A8:Z8"/>
    <mergeCell ref="A1:Z1"/>
    <mergeCell ref="A2:Z2"/>
    <mergeCell ref="D3:P3"/>
    <mergeCell ref="Q3:U3"/>
    <mergeCell ref="V3:Z3"/>
    <mergeCell ref="A4:Z4"/>
    <mergeCell ref="A5:C5"/>
    <mergeCell ref="A3:C3"/>
    <mergeCell ref="C15:O15"/>
    <mergeCell ref="P15:R15"/>
    <mergeCell ref="S15:X15"/>
    <mergeCell ref="Y15:Z15"/>
    <mergeCell ref="A16:Z16"/>
    <mergeCell ref="A17:Z17"/>
    <mergeCell ref="P11:R11"/>
    <mergeCell ref="S11:X11"/>
    <mergeCell ref="Y11:Z11"/>
    <mergeCell ref="A12:Z12"/>
    <mergeCell ref="A13:Z13"/>
    <mergeCell ref="A14:Z14"/>
    <mergeCell ref="A9:A11"/>
    <mergeCell ref="C9:O9"/>
    <mergeCell ref="P9:R9"/>
    <mergeCell ref="S9:X9"/>
    <mergeCell ref="Y9:Z9"/>
    <mergeCell ref="C10:O10"/>
    <mergeCell ref="P10:R10"/>
    <mergeCell ref="S10:X10"/>
    <mergeCell ref="Y10:Z10"/>
    <mergeCell ref="C11:O11"/>
    <mergeCell ref="A18:Z18"/>
    <mergeCell ref="A19:B49"/>
    <mergeCell ref="C19:F19"/>
    <mergeCell ref="G19:J19"/>
    <mergeCell ref="K19:N19"/>
    <mergeCell ref="O19:R19"/>
    <mergeCell ref="S19:X19"/>
    <mergeCell ref="Y19:Z19"/>
    <mergeCell ref="C20:D20"/>
    <mergeCell ref="E20:F20"/>
    <mergeCell ref="G20:J20"/>
    <mergeCell ref="K20:N20"/>
    <mergeCell ref="O20:R20"/>
    <mergeCell ref="S20:X20"/>
    <mergeCell ref="Z20:Z49"/>
    <mergeCell ref="C21:D21"/>
    <mergeCell ref="E21:F21"/>
    <mergeCell ref="G21:J21"/>
    <mergeCell ref="K21:N21"/>
    <mergeCell ref="O21:R21"/>
    <mergeCell ref="C23:D23"/>
    <mergeCell ref="E23:F23"/>
    <mergeCell ref="G23:J23"/>
    <mergeCell ref="K23:N23"/>
    <mergeCell ref="O23:R23"/>
    <mergeCell ref="S23:X23"/>
    <mergeCell ref="S21:X21"/>
    <mergeCell ref="C22:D22"/>
    <mergeCell ref="E22:F22"/>
    <mergeCell ref="G22:J22"/>
    <mergeCell ref="K22:N22"/>
    <mergeCell ref="O22:R22"/>
    <mergeCell ref="S22:X22"/>
    <mergeCell ref="C25:D25"/>
    <mergeCell ref="E25:F25"/>
    <mergeCell ref="G25:J25"/>
    <mergeCell ref="K25:N25"/>
    <mergeCell ref="O25:R25"/>
    <mergeCell ref="S25:X25"/>
    <mergeCell ref="C24:D24"/>
    <mergeCell ref="E24:F24"/>
    <mergeCell ref="G24:J24"/>
    <mergeCell ref="K24:N24"/>
    <mergeCell ref="O24:R24"/>
    <mergeCell ref="S24:X24"/>
    <mergeCell ref="C27:D27"/>
    <mergeCell ref="E27:F27"/>
    <mergeCell ref="G27:J27"/>
    <mergeCell ref="K27:N27"/>
    <mergeCell ref="O27:R27"/>
    <mergeCell ref="S27:X27"/>
    <mergeCell ref="C26:D26"/>
    <mergeCell ref="E26:F26"/>
    <mergeCell ref="G26:J26"/>
    <mergeCell ref="K26:N26"/>
    <mergeCell ref="O26:R26"/>
    <mergeCell ref="S26:X26"/>
    <mergeCell ref="C29:D29"/>
    <mergeCell ref="E29:F29"/>
    <mergeCell ref="G29:J29"/>
    <mergeCell ref="K29:N29"/>
    <mergeCell ref="O29:R29"/>
    <mergeCell ref="S29:X29"/>
    <mergeCell ref="C28:D28"/>
    <mergeCell ref="E28:F28"/>
    <mergeCell ref="G28:J28"/>
    <mergeCell ref="K28:N28"/>
    <mergeCell ref="O28:R28"/>
    <mergeCell ref="S28:X28"/>
    <mergeCell ref="C31:D31"/>
    <mergeCell ref="E31:F31"/>
    <mergeCell ref="G31:J31"/>
    <mergeCell ref="K31:N31"/>
    <mergeCell ref="O31:R31"/>
    <mergeCell ref="S31:X31"/>
    <mergeCell ref="C30:D30"/>
    <mergeCell ref="E30:F30"/>
    <mergeCell ref="G30:J30"/>
    <mergeCell ref="K30:N30"/>
    <mergeCell ref="O30:R30"/>
    <mergeCell ref="S30:X30"/>
    <mergeCell ref="C33:D33"/>
    <mergeCell ref="E33:F33"/>
    <mergeCell ref="G33:J33"/>
    <mergeCell ref="K33:N33"/>
    <mergeCell ref="O33:R33"/>
    <mergeCell ref="S33:X33"/>
    <mergeCell ref="C32:D32"/>
    <mergeCell ref="E32:F32"/>
    <mergeCell ref="G32:J32"/>
    <mergeCell ref="K32:N32"/>
    <mergeCell ref="O32:R32"/>
    <mergeCell ref="S32:X32"/>
    <mergeCell ref="C35:D35"/>
    <mergeCell ref="E35:F35"/>
    <mergeCell ref="G35:J35"/>
    <mergeCell ref="K35:N35"/>
    <mergeCell ref="O35:R35"/>
    <mergeCell ref="S35:X35"/>
    <mergeCell ref="C34:D34"/>
    <mergeCell ref="E34:F34"/>
    <mergeCell ref="G34:J34"/>
    <mergeCell ref="K34:N34"/>
    <mergeCell ref="O34:R34"/>
    <mergeCell ref="S34:X34"/>
    <mergeCell ref="C37:D37"/>
    <mergeCell ref="E37:F37"/>
    <mergeCell ref="G37:J37"/>
    <mergeCell ref="K37:N37"/>
    <mergeCell ref="O37:R37"/>
    <mergeCell ref="S37:X37"/>
    <mergeCell ref="C36:D36"/>
    <mergeCell ref="E36:F36"/>
    <mergeCell ref="G36:J36"/>
    <mergeCell ref="K36:N36"/>
    <mergeCell ref="O36:R36"/>
    <mergeCell ref="S36:X36"/>
    <mergeCell ref="C39:D39"/>
    <mergeCell ref="E39:F39"/>
    <mergeCell ref="G39:J39"/>
    <mergeCell ref="K39:N39"/>
    <mergeCell ref="O39:R39"/>
    <mergeCell ref="S39:X39"/>
    <mergeCell ref="C38:D38"/>
    <mergeCell ref="E38:F38"/>
    <mergeCell ref="G38:J38"/>
    <mergeCell ref="K38:N38"/>
    <mergeCell ref="O38:R38"/>
    <mergeCell ref="S38:X38"/>
    <mergeCell ref="C42:Y49"/>
    <mergeCell ref="C41:D41"/>
    <mergeCell ref="E41:F41"/>
    <mergeCell ref="G41:J41"/>
    <mergeCell ref="K41:N41"/>
    <mergeCell ref="O41:R41"/>
    <mergeCell ref="S41:X41"/>
    <mergeCell ref="C40:D40"/>
    <mergeCell ref="E40:F40"/>
    <mergeCell ref="G40:J40"/>
    <mergeCell ref="K40:N40"/>
    <mergeCell ref="O40:R40"/>
    <mergeCell ref="S40:X40"/>
  </mergeCells>
  <conditionalFormatting sqref="S20:X41">
    <cfRule type="cellIs" dxfId="2" priority="1" operator="equal">
      <formula>$S$15</formula>
    </cfRule>
  </conditionalFormatting>
  <printOptions horizontalCentered="1"/>
  <pageMargins left="1" right="1" top="0.5" bottom="0.5" header="0" footer="0"/>
  <pageSetup orientation="portrait" r:id="rId1"/>
  <headerFooter>
    <oddFooter xml:space="preserve">&amp;L4/7/2022
</oddFooter>
  </headerFooter>
  <colBreaks count="1" manualBreakCount="1">
    <brk id="26" max="1048575" man="1"/>
  </colBreaks>
  <ignoredErrors>
    <ignoredError sqref="A12:Z14 A9:R9 Y9:Z9 A10:R10 Y10:Z10 A11:R11 Y11:Z11 A15:B15 T15:Z15 D15:R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WMO Tc</vt:lpstr>
      <vt:lpstr>SPO Tc</vt:lpstr>
      <vt:lpstr>CN</vt:lpstr>
      <vt:lpstr>ADJUSTED CN</vt:lpstr>
      <vt:lpstr>C</vt:lpstr>
      <vt:lpstr>ORIFICE</vt:lpstr>
      <vt:lpstr>NOMO B-75</vt:lpstr>
      <vt:lpstr>NOMO B-70</vt:lpstr>
      <vt:lpstr>MRM B-75</vt:lpstr>
      <vt:lpstr>MRM B-70</vt:lpstr>
      <vt:lpstr>MRM TP-40</vt:lpstr>
      <vt:lpstr>VOLUME PROVIDED</vt:lpstr>
      <vt:lpstr>RUNOFF VOLUME</vt:lpstr>
      <vt:lpstr>'ADJUSTED CN'!Print_Area</vt:lpstr>
      <vt:lpstr>'C'!Print_Area</vt:lpstr>
      <vt:lpstr>CN!Print_Area</vt:lpstr>
      <vt:lpstr>'MRM B-70'!Print_Area</vt:lpstr>
      <vt:lpstr>'MRM B-75'!Print_Area</vt:lpstr>
      <vt:lpstr>'MRM TP-40'!Print_Area</vt:lpstr>
      <vt:lpstr>'NOMO B-70'!Print_Area</vt:lpstr>
      <vt:lpstr>'NOMO B-75'!Print_Area</vt:lpstr>
      <vt:lpstr>ORIFICE!Print_Area</vt:lpstr>
      <vt:lpstr>'RUNOFF VOLUME'!Print_Area</vt:lpstr>
      <vt:lpstr>'SPO Tc'!Print_Area</vt:lpstr>
      <vt:lpstr>'VOLUME PROVIDED'!Print_Area</vt:lpstr>
      <vt:lpstr>'WMO Tc'!Print_Area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2022-04-26T18:48:46Z</dcterms:modified>
</cp:coreProperties>
</file>